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S:\Projekti\Prizidek OŠ Senožeti\popisi za JN\"/>
    </mc:Choice>
  </mc:AlternateContent>
  <xr:revisionPtr revIDLastSave="0" documentId="13_ncr:1_{884B03E6-D154-4A74-BFA7-A252639BA616}" xr6:coauthVersionLast="36" xr6:coauthVersionMax="47" xr10:uidLastSave="{00000000-0000-0000-0000-000000000000}"/>
  <bookViews>
    <workbookView xWindow="-120" yWindow="-120" windowWidth="29040" windowHeight="15840" tabRatio="947" xr2:uid="{3BA3F148-A225-44AB-BE3B-19534EC6D0CE}"/>
  </bookViews>
  <sheets>
    <sheet name="1-Pripravljalna dela" sheetId="1" r:id="rId1"/>
    <sheet name="2-Zemeljska dela" sheetId="2" r:id="rId2"/>
    <sheet name="3-Betonska dela" sheetId="3" r:id="rId3"/>
    <sheet name="4-Zidarska dela" sheetId="4" r:id="rId4"/>
    <sheet name="5-Tesarska-suhomont.dela" sheetId="5" r:id="rId5"/>
    <sheet name="6-Montažna dela" sheetId="6" r:id="rId6"/>
    <sheet name="7-Kleparska dela " sheetId="7" r:id="rId7"/>
    <sheet name="8-Ključavničarska dela" sheetId="8" r:id="rId8"/>
    <sheet name="9-Okna vrata" sheetId="9" r:id="rId9"/>
    <sheet name="10-Tlakarska dela" sheetId="10" r:id="rId10"/>
    <sheet name="11-keramičarska dela" sheetId="11" r:id="rId11"/>
    <sheet name="12-Slikoplesk. dela" sheetId="12" r:id="rId12"/>
    <sheet name="13-Fasaderska dela" sheetId="13" r:id="rId13"/>
    <sheet name="14-zunanja ureditev" sheetId="17" r:id="rId14"/>
    <sheet name="15-razna dela" sheetId="14" r:id="rId15"/>
    <sheet name="16-Nepredvidena dela" sheetId="15" r:id="rId16"/>
    <sheet name="17-Rekapitulacija" sheetId="16" r:id="rId17"/>
  </sheets>
  <definedNames>
    <definedName name="Excel_BuiltIn_Print_Area_1">'10-Tlakarska dela'!$A$1:$F$18</definedName>
    <definedName name="Excel_BuiltIn_Print_Area_10">'4-Zidarska dela'!$A$1:$G$43</definedName>
    <definedName name="Excel_BuiltIn_Print_Area_12">'6-Montažna dela'!$A$1:$F$5</definedName>
    <definedName name="Excel_BuiltIn_Print_Area_13">'7-Kleparska dela '!$A$1:$F$24</definedName>
    <definedName name="Excel_BuiltIn_Print_Area_15">'9-Okna vrata'!$A$1:$F$43</definedName>
    <definedName name="Excel_BuiltIn_Print_Area_16">'1-Pripravljalna dela'!$A$1:$F$33</definedName>
    <definedName name="Excel_BuiltIn_Print_Area_2">'11-keramičarska dela'!$A$1:$F$14</definedName>
    <definedName name="Excel_BuiltIn_Print_Area_3">'12-Slikoplesk. dela'!$A$1:$F$21</definedName>
    <definedName name="Excel_BuiltIn_Print_Area_5">'15-razna dela'!$A$1:$F$14</definedName>
    <definedName name="Excel_BuiltIn_Print_Area_6">'16-Nepredvidena dela'!$A$1:$F$3</definedName>
    <definedName name="Excel_BuiltIn_Print_Area_8">'2-Zemeljska dela'!$A$1:$G$45</definedName>
    <definedName name="_xlnm.Print_Area" localSheetId="9">'10-Tlakarska dela'!$A$1:$F$22</definedName>
    <definedName name="_xlnm.Print_Area" localSheetId="10">'11-keramičarska dela'!$A$1:$F$15</definedName>
    <definedName name="_xlnm.Print_Area" localSheetId="11">'12-Slikoplesk. dela'!$A$1:$F$27</definedName>
    <definedName name="_xlnm.Print_Area" localSheetId="12">'13-Fasaderska dela'!$A$1:$F$28</definedName>
    <definedName name="_xlnm.Print_Area" localSheetId="14">'15-razna dela'!$A$1:$F$17</definedName>
    <definedName name="_xlnm.Print_Area" localSheetId="15">'16-Nepredvidena dela'!$A$1:$F$9</definedName>
    <definedName name="_xlnm.Print_Area" localSheetId="16">'17-Rekapitulacija'!$A$1:$F$30</definedName>
    <definedName name="_xlnm.Print_Area" localSheetId="1">'2-Zemeljska dela'!$A$1:$G$50</definedName>
    <definedName name="_xlnm.Print_Area" localSheetId="2">'3-Betonska dela'!$A$1:$G$52</definedName>
    <definedName name="_xlnm.Print_Area" localSheetId="3">'4-Zidarska dela'!$A$1:$G$43</definedName>
    <definedName name="_xlnm.Print_Area" localSheetId="4">'5-Tesarska-suhomont.dela'!$A$1:$F$32</definedName>
    <definedName name="_xlnm.Print_Area" localSheetId="5">'6-Montažna dela'!$A$1:$F$31</definedName>
    <definedName name="_xlnm.Print_Area" localSheetId="6">'7-Kleparska dela '!$A$1:$F$32</definedName>
    <definedName name="_xlnm.Print_Area" localSheetId="7">'8-Ključavničarska dela'!$A$1:$F$33</definedName>
    <definedName name="_xlnm.Print_Area" localSheetId="8">'9-Okna vrata'!$A$1:$F$45</definedName>
  </definedNames>
  <calcPr calcId="191029"/>
</workbook>
</file>

<file path=xl/calcChain.xml><?xml version="1.0" encoding="utf-8"?>
<calcChain xmlns="http://schemas.openxmlformats.org/spreadsheetml/2006/main">
  <c r="F7" i="15" l="1"/>
  <c r="F5" i="15"/>
  <c r="E5" i="15"/>
  <c r="F17" i="16" l="1"/>
  <c r="F16" i="16"/>
  <c r="F15" i="16"/>
  <c r="F14" i="16"/>
  <c r="F13" i="16"/>
  <c r="F12" i="16"/>
  <c r="F11" i="16"/>
  <c r="F10" i="16"/>
  <c r="F9" i="16"/>
  <c r="F8" i="16"/>
  <c r="F7" i="16"/>
  <c r="F6" i="16"/>
  <c r="F5" i="16"/>
  <c r="F4" i="16"/>
  <c r="F3" i="16"/>
  <c r="F28" i="1"/>
  <c r="F14" i="14"/>
  <c r="F12" i="14"/>
  <c r="F10" i="14"/>
  <c r="F8" i="14"/>
  <c r="F6" i="14"/>
  <c r="G31" i="17"/>
  <c r="G29" i="17"/>
  <c r="G25" i="17"/>
  <c r="G22" i="17"/>
  <c r="G17" i="17"/>
  <c r="G14" i="17"/>
  <c r="G11" i="17"/>
  <c r="F17" i="13"/>
  <c r="F15" i="13"/>
  <c r="F14" i="13"/>
  <c r="F11" i="13"/>
  <c r="F8" i="13"/>
  <c r="F11" i="12"/>
  <c r="F17" i="12"/>
  <c r="F15" i="12"/>
  <c r="F14" i="12"/>
  <c r="F14" i="11"/>
  <c r="F12" i="11"/>
  <c r="F11" i="11"/>
  <c r="F10" i="11"/>
  <c r="F16" i="10"/>
  <c r="F14" i="10"/>
  <c r="F11" i="10"/>
  <c r="F40" i="9"/>
  <c r="F38" i="9"/>
  <c r="F36" i="9"/>
  <c r="F34" i="9"/>
  <c r="F31" i="9"/>
  <c r="F28" i="9"/>
  <c r="F25" i="9"/>
  <c r="F24" i="9"/>
  <c r="F23" i="9"/>
  <c r="F20" i="9"/>
  <c r="F19" i="9"/>
  <c r="F18" i="9"/>
  <c r="F17" i="9"/>
  <c r="F16" i="9"/>
  <c r="F26" i="8"/>
  <c r="F24" i="8"/>
  <c r="F21" i="8"/>
  <c r="F18" i="8"/>
  <c r="F17" i="8"/>
  <c r="F14" i="8"/>
  <c r="F13" i="8"/>
  <c r="F24" i="7"/>
  <c r="F22" i="7"/>
  <c r="F21" i="7"/>
  <c r="F20" i="7"/>
  <c r="F17" i="7"/>
  <c r="F14" i="7"/>
  <c r="F11" i="7"/>
  <c r="F30" i="6"/>
  <c r="F28" i="6"/>
  <c r="F27" i="6"/>
  <c r="F26" i="6"/>
  <c r="F23" i="6"/>
  <c r="F20" i="6"/>
  <c r="F19" i="6"/>
  <c r="F16" i="6"/>
  <c r="F13" i="6"/>
  <c r="F10" i="6"/>
  <c r="F27" i="5"/>
  <c r="F25" i="5"/>
  <c r="F24" i="5"/>
  <c r="F23" i="5"/>
  <c r="F22" i="5"/>
  <c r="F19" i="5"/>
  <c r="F18" i="5"/>
  <c r="F15" i="5"/>
  <c r="F13" i="5"/>
  <c r="G43" i="4"/>
  <c r="G39" i="4"/>
  <c r="G41" i="4"/>
  <c r="G37" i="4"/>
  <c r="G36" i="4"/>
  <c r="G33" i="4"/>
  <c r="G30" i="4"/>
  <c r="G29" i="4"/>
  <c r="G28" i="4"/>
  <c r="G25" i="4"/>
  <c r="G24" i="4"/>
  <c r="G22" i="4"/>
  <c r="G21" i="4"/>
  <c r="G20" i="4"/>
  <c r="G17" i="4"/>
  <c r="G14" i="4"/>
  <c r="G11" i="4"/>
  <c r="G45" i="3"/>
  <c r="G43" i="3"/>
  <c r="G42" i="3"/>
  <c r="G39" i="3"/>
  <c r="G36" i="3"/>
  <c r="G35" i="3"/>
  <c r="G34" i="3"/>
  <c r="G33" i="3"/>
  <c r="G32" i="3"/>
  <c r="G29" i="3"/>
  <c r="G28" i="3"/>
  <c r="G27" i="3"/>
  <c r="G24" i="3"/>
  <c r="G23" i="3"/>
  <c r="G20" i="3"/>
  <c r="G19" i="3"/>
  <c r="G18" i="3"/>
  <c r="G45" i="2"/>
  <c r="G43" i="2"/>
  <c r="G41" i="2"/>
  <c r="G36" i="2"/>
  <c r="G35" i="2"/>
  <c r="G34" i="2"/>
  <c r="G31" i="2"/>
  <c r="G30" i="2"/>
  <c r="G27" i="2"/>
  <c r="G26" i="2"/>
  <c r="G25" i="2"/>
  <c r="G22" i="2"/>
  <c r="G19" i="2"/>
  <c r="G18" i="2"/>
  <c r="F10" i="1"/>
  <c r="F11" i="1"/>
  <c r="F12" i="1"/>
  <c r="F15" i="1"/>
  <c r="F16" i="1"/>
  <c r="F17" i="1"/>
  <c r="F19" i="1"/>
  <c r="F22" i="1"/>
  <c r="F24" i="1"/>
  <c r="F26" i="1"/>
  <c r="E23" i="3" l="1"/>
  <c r="E24" i="3"/>
  <c r="E34" i="2"/>
  <c r="E35" i="2"/>
  <c r="E36" i="2"/>
  <c r="E18" i="2" l="1"/>
  <c r="E29" i="3"/>
  <c r="E28" i="3"/>
  <c r="E20" i="3"/>
  <c r="E19" i="3"/>
  <c r="E18" i="3"/>
  <c r="E27" i="3"/>
  <c r="E43" i="3" l="1"/>
  <c r="E42" i="3"/>
  <c r="E25" i="17" l="1"/>
  <c r="E11" i="17"/>
  <c r="D14" i="7"/>
  <c r="E25" i="4"/>
  <c r="D18" i="5"/>
  <c r="G40" i="4" l="1"/>
  <c r="D20" i="6" l="1"/>
  <c r="D19" i="6"/>
  <c r="E28" i="4"/>
  <c r="D10" i="11" l="1"/>
  <c r="D11" i="11"/>
  <c r="E11" i="4"/>
  <c r="E14" i="4" s="1"/>
  <c r="E19" i="2"/>
  <c r="D14" i="10"/>
  <c r="D15" i="13" l="1"/>
  <c r="D14" i="13"/>
  <c r="D11" i="13"/>
  <c r="D15" i="12"/>
  <c r="D14" i="12"/>
  <c r="D11" i="12"/>
  <c r="D12" i="11"/>
  <c r="D11" i="10"/>
  <c r="F37" i="9"/>
  <c r="D13" i="8"/>
  <c r="D25" i="5"/>
  <c r="D24" i="5"/>
  <c r="D23" i="5"/>
  <c r="E22" i="4"/>
  <c r="D22" i="5"/>
  <c r="D15" i="5"/>
  <c r="E37" i="4"/>
  <c r="E36" i="4"/>
  <c r="E33" i="4"/>
  <c r="E29" i="4"/>
  <c r="E30" i="4"/>
  <c r="E17" i="4"/>
  <c r="E24" i="4"/>
  <c r="G23" i="4"/>
  <c r="E27" i="2"/>
  <c r="E31" i="2"/>
  <c r="E26" i="2"/>
  <c r="B16" i="16" l="1"/>
  <c r="B3" i="16"/>
  <c r="A4" i="16"/>
  <c r="B4" i="16"/>
  <c r="A5" i="16"/>
  <c r="B5" i="16"/>
  <c r="A6" i="16"/>
  <c r="B6" i="16"/>
  <c r="A7" i="16"/>
  <c r="B7" i="16"/>
  <c r="A8" i="16"/>
  <c r="B8" i="16"/>
  <c r="A9" i="16"/>
  <c r="B9" i="16"/>
  <c r="A10" i="16" a="1"/>
  <c r="A10" i="16" s="1"/>
  <c r="A11" i="16"/>
  <c r="B11" i="16"/>
  <c r="A12" i="16"/>
  <c r="B12" i="16"/>
  <c r="A13" i="16"/>
  <c r="B13" i="16"/>
  <c r="A14" i="16"/>
  <c r="B14" i="16"/>
  <c r="B15" i="16"/>
  <c r="B17" i="16"/>
  <c r="B18" i="16"/>
  <c r="B10" i="16" l="1"/>
  <c r="F18" i="16" l="1"/>
  <c r="F19" i="16" s="1"/>
  <c r="F21" i="16" l="1"/>
  <c r="F23" i="16" s="1"/>
</calcChain>
</file>

<file path=xl/sharedStrings.xml><?xml version="1.0" encoding="utf-8"?>
<sst xmlns="http://schemas.openxmlformats.org/spreadsheetml/2006/main" count="680" uniqueCount="433">
  <si>
    <t>1.</t>
  </si>
  <si>
    <t>Pripravljalna dela:</t>
  </si>
  <si>
    <t>zap. št.</t>
  </si>
  <si>
    <t xml:space="preserve">opis           </t>
  </si>
  <si>
    <t>enota</t>
  </si>
  <si>
    <t>količina</t>
  </si>
  <si>
    <t xml:space="preserve">znesek  v EUR  </t>
  </si>
  <si>
    <t>1.1</t>
  </si>
  <si>
    <r>
      <t>m</t>
    </r>
    <r>
      <rPr>
        <vertAlign val="superscript"/>
        <sz val="10"/>
        <rFont val="Arial CE"/>
        <family val="2"/>
        <charset val="238"/>
      </rPr>
      <t>1</t>
    </r>
  </si>
  <si>
    <t>1.2</t>
  </si>
  <si>
    <t>1.3</t>
  </si>
  <si>
    <t>kom</t>
  </si>
  <si>
    <t>Skupaj pripravljalna dela:</t>
  </si>
  <si>
    <t xml:space="preserve"> </t>
  </si>
  <si>
    <t>2.</t>
  </si>
  <si>
    <t>Zemeljska dela:</t>
  </si>
  <si>
    <t>Splošna določila:</t>
  </si>
  <si>
    <t>* zemeljska dela se morajo izvajati po določilih in tehničnih predpisih v soglasju z obveznimi standardi</t>
  </si>
  <si>
    <t>* standardi za zemeljska dela vsebujejo še: pregled bočnih strani izkopa vsak dan pred pričetkom  del, črpanje vode iz gradbene jame in temeljev, čiščenje temeljev neposredno pred pričetkom betonskih del</t>
  </si>
  <si>
    <t>* Kot široki izkop se smatra izkop širine preko 2,00 m, kot površinski široki izkop pa kot široki izkop, ki ne presega povprečne globine 20cm.</t>
  </si>
  <si>
    <t>* Odstranjevanje rastlin, zakoličenje objektov, dovoz, montaža, demontaža in odvoz strojev, naprav… se obračunajo v pripravljalna in zaključna dela in se ne obračunavajo posebej.</t>
  </si>
  <si>
    <t>* Stroški dovoza, montaže, demontaže in odvoza strojev so osnovni kriteriji za določitev strojne oz. ročne izvršitve zemeljskih del.</t>
  </si>
  <si>
    <r>
      <t>* Izračun izkopov in prevozov zemlje se vrši od m</t>
    </r>
    <r>
      <rPr>
        <sz val="10"/>
        <rFont val="Arial"/>
        <family val="2"/>
        <charset val="238"/>
      </rPr>
      <t>³</t>
    </r>
    <r>
      <rPr>
        <sz val="10"/>
        <rFont val="Arial CE"/>
        <family val="2"/>
        <charset val="238"/>
      </rPr>
      <t xml:space="preserve"> izkopa, merjeno na osnovi profilov posnetih pred izvršenim izkopom in po njem.</t>
    </r>
  </si>
  <si>
    <t>* Poševni nagib izkopov upoštevamo pri globinah nad 1,50m.</t>
  </si>
  <si>
    <t>* Manipulacijski prostor za delavca mora imeti 0,60m čiste mere.</t>
  </si>
  <si>
    <t>* Izvajalec mora pred izkopi zakoličiti vso obstoječo komunalno infratsrukturo.</t>
  </si>
  <si>
    <t>2.1</t>
  </si>
  <si>
    <r>
      <t>m</t>
    </r>
    <r>
      <rPr>
        <vertAlign val="superscript"/>
        <sz val="10"/>
        <rFont val="Arial CE"/>
        <family val="2"/>
        <charset val="238"/>
      </rPr>
      <t>3</t>
    </r>
  </si>
  <si>
    <t>2.4</t>
  </si>
  <si>
    <r>
      <t>m</t>
    </r>
    <r>
      <rPr>
        <vertAlign val="superscript"/>
        <sz val="10"/>
        <rFont val="Arial CE"/>
        <family val="2"/>
        <charset val="238"/>
      </rPr>
      <t>2</t>
    </r>
  </si>
  <si>
    <t>2.5</t>
  </si>
  <si>
    <t>2.6</t>
  </si>
  <si>
    <t>Skupaj zemeljska dela:</t>
  </si>
  <si>
    <t>OPOMBA:</t>
  </si>
  <si>
    <t>3.</t>
  </si>
  <si>
    <t>Betonska dela:</t>
  </si>
  <si>
    <t>Pred pričetkom betonskih del morata biti opaž in armatura popolnoma pripravljena, kvaliteta betona mora ustrezati zahtevam splošnih določil za betonska dela in opisu del, vgrajevanje se obračunava v m3 vgrajenega betona, kot vidne konstrukcije po tem katalogu se smatrajo vse tiste konstrukcije iz betona, ki ostanejo po izdelavi neometane, v ceno moramo zajeti vse potrebne raziskave za določanje kvalitete in končno oceno betonov za konstrukcijske elemente.</t>
  </si>
  <si>
    <t>Storitev zajema tudi čiščenje in močenje opaža neposredno pred pričetkom del, čiščenje betonskega železa od blata, maščob in rje, ki se lušči, postavljanje podložk in začasno vezanje armature k opažu, manjša popravila opažev pri betoniranju, vmetavanje betona v opaže in premeščanje lijaka med betoniranjem, čiščenje prostorov in strojev po izvršenem delu in podobno, močenje betona, ročno vgrajevanje z ročnim ali strojnim zgoščevanjem betona v konstrukcije določenega preseka, naprava betona s prenosom vsega materiala do mesta izdelave, prenos betona do mesta vgraditve.</t>
  </si>
  <si>
    <t>Pred pričetkom betonskih del mora bit opaž in armatura popolnoma pripravljena, opaž mora bit popolnoma zalit z betonom, beton bora biti gost in brez gnezd, armatura mora ostati na svojem mestu in mora biti obdana od vseh strani s predpisanim zaščitnim slojem betona, višina prostega pada betona ne sme biti večja od 1m, kvaliteta betona mora ustrezati zahtevanim kvalitetam in standardom.</t>
  </si>
  <si>
    <t>Pri vseh pozicijah je potrebno upoštevati tudi:</t>
  </si>
  <si>
    <t xml:space="preserve">  - dobavo in vgradnjo betona v konstrukcijo, </t>
  </si>
  <si>
    <t xml:space="preserve">  - vgradnjo vseh sider in kovinskih nosilnih element. za ostala dela,</t>
  </si>
  <si>
    <t xml:space="preserve">  - na mestih-prostorih, kjer so sifoni, ali potrebni padci za odtekanje vode, je treba padce narediti v skladu z zahtevami iz projekta,</t>
  </si>
  <si>
    <t xml:space="preserve">  - projekt betona z vsemi opisanimi parametri, odvzem in nega vzorcev betona ter končno poročilo o kvaliteti vgrajenega betona. Projekt betona ter končno poročilo o kvaliteti, izdela izvajalec, oz. prevzemnik del ki ga preda investitorju</t>
  </si>
  <si>
    <t xml:space="preserve">  - bet. površine vidnih betonov morajo biti pripravljene za slikopleskarsko obdelavo</t>
  </si>
  <si>
    <t>3.1</t>
  </si>
  <si>
    <t>3.2</t>
  </si>
  <si>
    <t>3.3</t>
  </si>
  <si>
    <r>
      <t>m</t>
    </r>
    <r>
      <rPr>
        <vertAlign val="superscript"/>
        <sz val="10"/>
        <color indexed="8"/>
        <rFont val="Arial CE"/>
        <family val="2"/>
        <charset val="238"/>
      </rPr>
      <t>3</t>
    </r>
  </si>
  <si>
    <t>3.4</t>
  </si>
  <si>
    <t>3.5</t>
  </si>
  <si>
    <t>3.6</t>
  </si>
  <si>
    <t>Komplet dobava materiala in ročno rezanje, krivljenje in polaganje armature v vse nove AB konstrukcije (vezi, nosilce, plošče, podeste, stopnice,….) vključno z vsemi potrebnimi deli.</t>
  </si>
  <si>
    <t>Skupaj betonska dela:</t>
  </si>
  <si>
    <t>Vse na mestu betonirane premostitvene in prekladne  konstrukcije (plošče, nosilci, preklade) morajo biti pri opaženju, to je pred betoniranjem ustrezno nadvišane - po statičnem računu!</t>
  </si>
  <si>
    <t>Pri vseh postavkah betonskih del upoštevati dobavo s transportom, strojno vgrajevanje betona, vibriranje, nego in površinsko izravnavo z zagladitvijo.</t>
  </si>
  <si>
    <t>4.</t>
  </si>
  <si>
    <t>Zidarska dela:</t>
  </si>
  <si>
    <t>* Zidarska dela vsebujejo, premeščanje malte in občasno mešanje malte, dodajanje materiala in orodja, postavitev, premeščanje in odstranitev pomičnih odrov višine do 2m, gašenje apna, prenos in obeleževanje višinskih točk v objektu, čiščenje prostorov, izdelkov in delovnih priprav, zastavljanje zidov, naprava malt s prenosi.</t>
  </si>
  <si>
    <t>4.1</t>
  </si>
  <si>
    <t>4.2</t>
  </si>
  <si>
    <t>4.3</t>
  </si>
  <si>
    <t>4.4</t>
  </si>
  <si>
    <t>m</t>
  </si>
  <si>
    <t>Skupaj zidarska dela:</t>
  </si>
  <si>
    <t>5.</t>
  </si>
  <si>
    <t>Tesarska dela, suhomontažna dela:</t>
  </si>
  <si>
    <r>
      <t>* Tesarska dela zajemajosnemanje potrebnih izmer na mestu samem, postavitev, premeščanje in odstranitev premičnih odrov višine  do 2m</t>
    </r>
    <r>
      <rPr>
        <sz val="10"/>
        <rFont val="Arial"/>
        <family val="2"/>
        <charset val="238"/>
      </rPr>
      <t>²</t>
    </r>
    <r>
      <rPr>
        <sz val="10"/>
        <rFont val="Arial CE"/>
        <family val="2"/>
        <charset val="238"/>
      </rPr>
      <t xml:space="preserve"> potrebnih za napravo tesarskih del, zbiranje in sortiranje lesa po dimenzijah.</t>
    </r>
  </si>
  <si>
    <t>* Opaži morajo biti izdelani tako, da se razopaženje opravi lahko brez pretresov in poškodovanja konstrukcije in opažev samih.</t>
  </si>
  <si>
    <t>* Tesarska dela še zajemajo napravo opažev po opisu s prenosom potrebnega materiala do mesta vgraditve, podpiranje, zavetrovanje in vezanje opažev, razopaženje, ruvanje žičnikov, čiščenje opažev, odnos lesa v deponijo, ter sortiranje podimenzijah, ter vsa druga pomožna dela.</t>
  </si>
  <si>
    <r>
      <t>* Opaž temeljev, zidov, stebrov, nosilcev, preklad, plošč in obokov ter vencev nad 80cm širine se obračunava v m</t>
    </r>
    <r>
      <rPr>
        <sz val="10"/>
        <rFont val="Arial"/>
        <family val="2"/>
        <charset val="238"/>
      </rPr>
      <t>²</t>
    </r>
    <r>
      <rPr>
        <sz val="10"/>
        <rFont val="Arial CE"/>
        <family val="2"/>
        <charset val="238"/>
      </rPr>
      <t xml:space="preserve"> notranje površine opažev, t. j. razvite vidne površine izdelanih konstrukcij. Opaž vencev širine do 80cm se obračunava v m1 horizontalne projekcije, merjene po zunanjem robu konstrukcije.   </t>
    </r>
  </si>
  <si>
    <t>5.1</t>
  </si>
  <si>
    <t xml:space="preserve">Komplet dobava in montaža pomičnih odrov za notranjo uporabo po celi obravnavani površini objekta, po končanih delih demontaža, komplet z zavarovanjem pred padanjem na tla. </t>
  </si>
  <si>
    <t>5.2</t>
  </si>
  <si>
    <t>5.3</t>
  </si>
  <si>
    <t>5.4</t>
  </si>
  <si>
    <t>Skupaj tesarska in suhomontažna deladela :</t>
  </si>
  <si>
    <t xml:space="preserve">OPOMBA: V ceno vseh postavk je potrebno zajeti vsa potrebna dela. </t>
  </si>
  <si>
    <t>6.</t>
  </si>
  <si>
    <t>6.1</t>
  </si>
  <si>
    <t>6.2</t>
  </si>
  <si>
    <t>kpl</t>
  </si>
  <si>
    <t>6.3</t>
  </si>
  <si>
    <t>KV delavec</t>
  </si>
  <si>
    <t>ur</t>
  </si>
  <si>
    <t>PK delavec</t>
  </si>
  <si>
    <t>7.</t>
  </si>
  <si>
    <t>Kleparska dela:</t>
  </si>
  <si>
    <t>* Podlage za kleparska dela morajo biti popolnoma ravne in izvršene v določenem padcu po določilih projektne dokumentacije, kleparska dela se morajo izvajati po določilih veljavnih tehničnih predpisov in normativov ter veljavnimi standardi, vgrajeni materiali morajo po kvaliteti ustrezati veljavnim standardom. Za izvršitev kleparskih del se uporabljajo obstoječi odri na objektu.</t>
  </si>
  <si>
    <t>7.1</t>
  </si>
  <si>
    <t>7.2</t>
  </si>
  <si>
    <t>7.3</t>
  </si>
  <si>
    <t>Skupaj kleparska dela:</t>
  </si>
  <si>
    <t xml:space="preserve">Vsi materiali se lahko zamenjajo z enakovrednimi materiali, v tem slučaju je potrebno detajle izvesti po navodilih proizvajalca oz. dobavitelja. </t>
  </si>
  <si>
    <t>8.</t>
  </si>
  <si>
    <t>Pri izvajanju ključavničarskih del je upoštevati vsa pripravljalna, pomožna in zaključna dela. Hkrati je potrebno tudi upoštevati:</t>
  </si>
  <si>
    <t xml:space="preserve"> V ceno za enoto mere morajo biti vračunani stroški za izdelavo delavniških načrtov ter detajlov za izvedbo posameznih konstrukcijskih elementov in izdelava predizmer na objektu.  </t>
  </si>
  <si>
    <t xml:space="preserve">* Ključavničarska dela zajemajo snemanje potrebnih izmer na objektu, pregled izvršenih podlog in fino čiščenje teh pred pričetom dela, dobava osnovnega, pomožnega in pritrdilnega materiala, dobavo suhomontažnih železnih okvirov za okna in vrata, delo v delavnici in objektu z montažo, čiščenej železnih izdelkov in dvakratno miniziranje teh, prevoz izdelkov na objekt z nakladanjem in eskpeditom, čiščenje izdelkov po izvršeni montaži in podobno. </t>
  </si>
  <si>
    <t xml:space="preserve">* jeklene konstrukcije in železne ograje vseh vrst se obračunavajo od kg vgrajenega železa, merjeno po teoretičnih težah in dolžinah iz načrta, za nosilne jeklene konstrukcije je v ceni upoštevati pridobitev pozitivnega mnenja o pregledu iz strani pristojne pooblaščene institucije.   </t>
  </si>
  <si>
    <t>8.1</t>
  </si>
  <si>
    <t>8.2</t>
  </si>
  <si>
    <t xml:space="preserve">OPOMBA: </t>
  </si>
  <si>
    <t>9.</t>
  </si>
  <si>
    <t>Okna, vrata:</t>
  </si>
  <si>
    <r>
      <t>* Okna in vrata standardnih mer se obračunavajo posamezno, okna, vrata in ostali izdelki nestandardnih mer pa od m</t>
    </r>
    <r>
      <rPr>
        <sz val="10"/>
        <rFont val="Arial"/>
        <family val="2"/>
        <charset val="238"/>
      </rPr>
      <t>²</t>
    </r>
    <r>
      <rPr>
        <sz val="10"/>
        <rFont val="Arial CE"/>
        <family val="2"/>
        <charset val="238"/>
      </rPr>
      <t xml:space="preserve"> izdelka, merjeno po zunanjem (modularnem) obodu okvira; pri vratih se kotno železo obračunava posebej.</t>
    </r>
  </si>
  <si>
    <r>
      <t>* Senčila nestandardnih mer se obračunavajo od m</t>
    </r>
    <r>
      <rPr>
        <sz val="10"/>
        <rFont val="Arial"/>
        <family val="2"/>
        <charset val="238"/>
      </rPr>
      <t>²</t>
    </r>
    <r>
      <rPr>
        <sz val="10"/>
        <rFont val="Arial CE"/>
        <family val="2"/>
        <charset val="238"/>
      </rPr>
      <t xml:space="preserve"> modularne mere okna, povečanega za standardno višino omarice, lesene polkne pa od m</t>
    </r>
    <r>
      <rPr>
        <sz val="10"/>
        <rFont val="Arial"/>
        <family val="2"/>
        <charset val="238"/>
      </rPr>
      <t>²</t>
    </r>
    <r>
      <rPr>
        <sz val="10"/>
        <rFont val="Arial CE"/>
        <family val="2"/>
        <charset val="238"/>
      </rPr>
      <t xml:space="preserve"> okna merjeno po zunanjem (modularnem) obodu.</t>
    </r>
  </si>
  <si>
    <t>* Storitev zajema tudi snemanje potrebnih izmer na objektu, dobavo vsega osnovnega in pomožnega materiala, ter okovja, napravo izdelkov in montažo na objektu z dajatvami, podbarvanje izdelkov, zasteklitve, lakiranje in zaščita izdelkov, prevoz materiala in izdelkov na objekt z nakladanjem, ekspeditom, razkladanjem, skladiščenjem in notranjim prenosom materiala do mesta vgraditve, čiščenje izdelkov po izvršenem delu in podobno.</t>
  </si>
  <si>
    <t>9.1</t>
  </si>
  <si>
    <t>*</t>
  </si>
  <si>
    <t>9.2</t>
  </si>
  <si>
    <t>9.3</t>
  </si>
  <si>
    <t>Skupaj okna, vrata:</t>
  </si>
  <si>
    <t>10.</t>
  </si>
  <si>
    <t>Tlakarska in asfalterska dela:</t>
  </si>
  <si>
    <t>Tlakarska dela (splošna določila):</t>
  </si>
  <si>
    <t xml:space="preserve">ksilolit: odprtine preko 0,50 m2,                        </t>
  </si>
  <si>
    <t>guma, linolej, plastika: odbijajo se vse odprtine.</t>
  </si>
  <si>
    <t>10.1</t>
  </si>
  <si>
    <t>11.</t>
  </si>
  <si>
    <t>Keramičarska dela</t>
  </si>
  <si>
    <r>
      <t>* Tlaki in obloge se obračubavajo po m</t>
    </r>
    <r>
      <rPr>
        <sz val="10"/>
        <rFont val="Arial"/>
        <family val="2"/>
        <charset val="238"/>
      </rPr>
      <t>²</t>
    </r>
    <r>
      <rPr>
        <sz val="10"/>
        <rFont val="Arial CE"/>
        <family val="2"/>
        <charset val="238"/>
      </rPr>
      <t xml:space="preserve"> obložene površine. Odprtine do 0,50m</t>
    </r>
    <r>
      <rPr>
        <sz val="10"/>
        <rFont val="Arial"/>
        <family val="2"/>
        <charset val="238"/>
      </rPr>
      <t>²</t>
    </r>
    <r>
      <rPr>
        <sz val="10"/>
        <rFont val="Arial CE"/>
        <family val="2"/>
        <charset val="238"/>
      </rPr>
      <t xml:space="preserve"> se ne odbijajo. Podstavki višine do dveh vrst ploščic se obračunavajo po m</t>
    </r>
    <r>
      <rPr>
        <sz val="10"/>
        <rFont val="Arial"/>
        <family val="2"/>
        <charset val="238"/>
      </rPr>
      <t>¹</t>
    </r>
    <r>
      <rPr>
        <sz val="10"/>
        <rFont val="Arial CE"/>
        <family val="2"/>
        <charset val="238"/>
      </rPr>
      <t>.</t>
    </r>
  </si>
  <si>
    <r>
      <t>* V ceno potrebno zajeti zaključne vogalne letvice oz. elemente pri stopnicah, v javnih prostorih sanitarij in kuhinj (ne v stanovanjih) pa v ceno m</t>
    </r>
    <r>
      <rPr>
        <sz val="10"/>
        <rFont val="Arial"/>
        <family val="2"/>
        <charset val="238"/>
      </rPr>
      <t>²</t>
    </r>
    <r>
      <rPr>
        <sz val="10"/>
        <rFont val="Arial CE"/>
        <family val="2"/>
        <charset val="238"/>
      </rPr>
      <t xml:space="preserve"> stenske zaokrožnice, v ostalih prostorih pa nizkostensko obrobo.</t>
    </r>
  </si>
  <si>
    <t>* Storitev zajema tudi prskanje zidu s cementnim mlekom pri vseh zidanih oblogah, dobavo vsega osnovnega in pomožnega materiala z napravo malt, delo v delavnici in na objektu z dajatvami, prevoz materiala in izdelkov na objskt z nakladanjem, ekspeditom, razkladanjem, skladiščenjem in notranjim prenosom materiala do mesta vgraditve, čiščenje izdelkov po izvršenem delu in podobno.</t>
  </si>
  <si>
    <t>11.1</t>
  </si>
  <si>
    <t>Skupaj keramičarska dela</t>
  </si>
  <si>
    <t>Vse materiale, ter barve potrdi investitor.</t>
  </si>
  <si>
    <t>Slikopleskarska dela:</t>
  </si>
  <si>
    <r>
      <t>* Slikopleskarska dela se obračunavajo po m</t>
    </r>
    <r>
      <rPr>
        <sz val="10"/>
        <rFont val="Arial"/>
        <family val="2"/>
        <charset val="238"/>
      </rPr>
      <t>²</t>
    </r>
    <r>
      <rPr>
        <sz val="10"/>
        <rFont val="Arial CE"/>
        <family val="2"/>
        <charset val="238"/>
      </rPr>
      <t xml:space="preserve"> dejansko izvršene površine.           </t>
    </r>
  </si>
  <si>
    <r>
      <t>* Venci izpadi in poglobitve preko 15cm se obračunavajo po razviti površini, odprtine do 3m</t>
    </r>
    <r>
      <rPr>
        <sz val="10"/>
        <rFont val="Arial"/>
        <family val="2"/>
        <charset val="238"/>
      </rPr>
      <t>²</t>
    </r>
    <r>
      <rPr>
        <sz val="10"/>
        <rFont val="Arial CE"/>
        <family val="2"/>
        <charset val="238"/>
      </rPr>
      <t xml:space="preserve"> se ne odbijajo in špalete se ne obračunavajo.</t>
    </r>
  </si>
  <si>
    <t>* Storitev zajema tudi dobavo vsega osnovnega in pomožnega materiala, pripravo in mešanje barv, lepila, snemanje okenskih in vratnih kril in ponovno obešanje, čiščenje pred obdelavo, nanašanje osnovnih zaščitnih in dekorativnih premazov, čiščenje onesnaženih delov objekta in podobno.</t>
  </si>
  <si>
    <t>12.1</t>
  </si>
  <si>
    <t>- stene</t>
  </si>
  <si>
    <t>Skupaj slikopleskarska dela:</t>
  </si>
  <si>
    <t>Vse mere preveriti na licu mesta!</t>
  </si>
  <si>
    <t>Količine so samo za enkratni nanos materiala!!</t>
  </si>
  <si>
    <t>14.</t>
  </si>
  <si>
    <t>Fasaderska dela:</t>
  </si>
  <si>
    <t>* Fasaderska dela zajemajo čiščenje reg in močenje površine zidu, napravo vodil, malt in prenose materiala do mesta vgrditve, ometavanje po opisu.</t>
  </si>
  <si>
    <t>13.1</t>
  </si>
  <si>
    <t>Skupaj fasaderska dela:</t>
  </si>
  <si>
    <t>Barva fasade po izbiri investitorja.</t>
  </si>
  <si>
    <t>%</t>
  </si>
  <si>
    <t>Skupaj razna dela:</t>
  </si>
  <si>
    <t>Nepredvidena dela:</t>
  </si>
  <si>
    <t>Nepredvidena dela</t>
  </si>
  <si>
    <t>Skupaj nepredvidena dela:</t>
  </si>
  <si>
    <t>16.</t>
  </si>
  <si>
    <t>Rekapitulacija:</t>
  </si>
  <si>
    <t>13.</t>
  </si>
  <si>
    <t>15.</t>
  </si>
  <si>
    <t>Skupaj:</t>
  </si>
  <si>
    <t xml:space="preserve">DDV 22% </t>
  </si>
  <si>
    <t>Vse materiale je možno zamenjati z enakovrednimi ali boljšimi materiali.</t>
  </si>
  <si>
    <t>vse mere preveriti na licu mesta.</t>
  </si>
  <si>
    <t>1.4</t>
  </si>
  <si>
    <t>- odriv humusa za temelje objekta</t>
  </si>
  <si>
    <t xml:space="preserve">Strojni izkop gradbene jame v III. ktg. zemljine z odlaganjem ob gradbišču za kasnejšo ureditev okolice (komplet z odvozom odvečne zemljine na javno deponijo (cca 2/3 količine) v oddaljenosti cca 5 km, ki jo določi izvajalec že v času oddaje ponudb). </t>
  </si>
  <si>
    <t>2.3</t>
  </si>
  <si>
    <t xml:space="preserve">- zid d = 30 cm </t>
  </si>
  <si>
    <t>* zidanje se obračunava po dejansko izvršenih količinah po opisu in enoti mere v posameznem standardu, odprtine za okna in vrata se odbijajo po zidarskih merah iz načrta obenem z nadokensko in nadvratno preklado, v primeru, da je odprtina z zobom, se širina odprtine pri odbitku meri med zoboma, pri zmanjšani debelini zidov pri okenskih parapetih se parapet računa kot polni zid v nezmajšani debeline.</t>
  </si>
  <si>
    <t xml:space="preserve">* Opaži morajo biti izvršeni točno po merah iz načrtov z vsemi potrebnimi podporami, z vodoravno in diagonalnopo vezavo tako, da so stabilni in da vzdržijo obtežbe z betonom. Notranje površine morajo biti čiste in ravne. Pri objektih z več nadstropji mora biti razpored gornjih podpor tak, da se obtežba prenaša neposredno na spodnje podpore.                         </t>
  </si>
  <si>
    <t>m2</t>
  </si>
  <si>
    <t xml:space="preserve"> V ceno potrebno zajeti vsa potrebna dela. </t>
  </si>
  <si>
    <t>Skupaj ključavničarska dela:</t>
  </si>
  <si>
    <t>Ključavničarska dela</t>
  </si>
  <si>
    <t>VSE SKUPAJ Z DDV:</t>
  </si>
  <si>
    <t xml:space="preserve"> Možna je sprememba materialov, izvedbe, umestne razdelitve, senčila, zasteklitev vrat, in sicer v skladu po dogovoru in z  željami investitorja.</t>
  </si>
  <si>
    <t xml:space="preserve">Pri tlakih se odbijajo odprtine:      </t>
  </si>
  <si>
    <t>Komplet dobava in polaganje talnih in stenskih keramičnih ploščic, boljše kvalitete. Ploščice  po izbiri investitorja. V sanitarijah se keramika položi do stropa. V ceno potrebno zajeti vsa potrebna dela, vključno z lepljenjem s kvalitetnimi lepili, fugiranjem s fugirno maso, zaključnimi letvicami, nizko stensko obrobo. V ceno zajeti izbor ploščic v 2 barvah oz. po izbiri investitorja.</t>
  </si>
  <si>
    <t>15.1</t>
  </si>
  <si>
    <t>15.2</t>
  </si>
  <si>
    <t>15.3</t>
  </si>
  <si>
    <t>15.4</t>
  </si>
  <si>
    <t>Zunanja ureditev:</t>
  </si>
  <si>
    <t>Skupaj zunanja ureditev:</t>
  </si>
  <si>
    <t>16.1</t>
  </si>
  <si>
    <t>Vse barve fasadnih elementov, nosilne konstrukcije, keramike, opleskov, oken, vrat…. se določijo po izbiri investitorja.</t>
  </si>
  <si>
    <t>Skupaj tlakarska dela:</t>
  </si>
  <si>
    <t xml:space="preserve">Komplet dobava materiala za notranje omete, ter brušenje in 2 x kitanje oz. izravnava sten po končanih gradbenih delih. V ceno potrebno zajeti vsa potrebna dela. </t>
  </si>
  <si>
    <t>- stenska keramika, boljše kvalitete,  polaganje do stropa, v 2 barvi</t>
  </si>
  <si>
    <t xml:space="preserve">Vsi materiali (ometi, barve…) morajo biti primerni za avtomehanično delavnico. </t>
  </si>
  <si>
    <t>12.2</t>
  </si>
  <si>
    <t>13.2</t>
  </si>
  <si>
    <t>Komplet dobava in naprava zaključnega fasadnega sloja kot Baumit silikat putz v dveh barvah, ter obrobah ob oknih in vratih.</t>
  </si>
  <si>
    <r>
      <t>* fasadni ometi se obračunavajo po m</t>
    </r>
    <r>
      <rPr>
        <sz val="10"/>
        <rFont val="Arial"/>
        <family val="2"/>
        <charset val="238"/>
      </rPr>
      <t>²</t>
    </r>
    <r>
      <rPr>
        <sz val="10"/>
        <rFont val="Arial CE"/>
        <family val="2"/>
        <charset val="238"/>
      </rPr>
      <t xml:space="preserve"> izvršenega dela, odprtine do 3 m</t>
    </r>
    <r>
      <rPr>
        <sz val="10"/>
        <rFont val="Arial"/>
        <family val="2"/>
        <charset val="238"/>
      </rPr>
      <t>²</t>
    </r>
    <r>
      <rPr>
        <sz val="10"/>
        <rFont val="Arial CE"/>
        <family val="2"/>
        <charset val="238"/>
      </rPr>
      <t xml:space="preserve"> se ne odbivajo in špalete se ne obračunavajo posebej, pri odprtinah od 3 do 5 m</t>
    </r>
    <r>
      <rPr>
        <sz val="10"/>
        <rFont val="Arial"/>
        <family val="2"/>
        <charset val="238"/>
      </rPr>
      <t>²</t>
    </r>
    <r>
      <rPr>
        <sz val="10"/>
        <rFont val="Arial CE"/>
        <family val="2"/>
        <charset val="238"/>
      </rPr>
      <t xml:space="preserve"> se odbivajo in špalete se ne obračunavajo posebej, pri odprtinah preko 5 m</t>
    </r>
    <r>
      <rPr>
        <sz val="10"/>
        <rFont val="Arial"/>
        <family val="2"/>
        <charset val="238"/>
      </rPr>
      <t>²</t>
    </r>
    <r>
      <rPr>
        <sz val="10"/>
        <rFont val="Arial CE"/>
        <family val="2"/>
        <charset val="238"/>
      </rPr>
      <t xml:space="preserve"> se odbivajo površine preko 3 m2 in špalete se obračunavajo posebej.</t>
    </r>
  </si>
  <si>
    <t>Obračun po tekočem metru, brez spodnje špalete.</t>
  </si>
  <si>
    <t>Izdelava zunanjih špalet, vključno z:</t>
  </si>
  <si>
    <t>- toplotno izolacijo enake debeline kot fasada,</t>
  </si>
  <si>
    <t>- lepljenjem in mehanskim pritrjevanjem,</t>
  </si>
  <si>
    <t>- vgradnjo okenskih zaključnih profilov z mrežico,</t>
  </si>
  <si>
    <t>- zaključnim tankoslojnim ometom.</t>
  </si>
  <si>
    <t>- armirnim slojem z mrežico,</t>
  </si>
  <si>
    <t>2.9</t>
  </si>
  <si>
    <t>Vse dimenzije temeljenja vskladiti s statičnim izračunom, ki je sestavni del Načrta gradbenih konstrukcij.</t>
  </si>
  <si>
    <t>14.1</t>
  </si>
  <si>
    <t>14.2</t>
  </si>
  <si>
    <t>14.3</t>
  </si>
  <si>
    <t>METEORNA KANALIZACIJA</t>
  </si>
  <si>
    <t>14.4</t>
  </si>
  <si>
    <t>14.5</t>
  </si>
  <si>
    <t>FEKALNA KANALIZACIJA</t>
  </si>
  <si>
    <r>
      <t>m</t>
    </r>
    <r>
      <rPr>
        <vertAlign val="superscript"/>
        <sz val="10"/>
        <rFont val="Arial Narrow"/>
        <family val="2"/>
        <charset val="238"/>
      </rPr>
      <t>1</t>
    </r>
  </si>
  <si>
    <t xml:space="preserve"> V ceno zajeti vsa potrebna dela ter odvoz odvečnega materiala na deponijo.</t>
  </si>
  <si>
    <t>Vsi ugrajeni elemente se morajo dobaviti z vsemi ustreznimi certifikati, atesti, garancijami, navodili za obratovanje, vzdrževanje, posluževanje in servisiranje ter funkcionalno shemo izvedenega stanja.</t>
  </si>
  <si>
    <t xml:space="preserve">Odvajanje meteorne  kanalizacie je predvideno v ponikovalnico preko PVC jaškov Ø500 mm s peskolovi, TER z LTŽ pokrovom. Jaški so povezani s PVC cevmi Ø160 mm v naklonu 1%.  </t>
  </si>
  <si>
    <t>14.6</t>
  </si>
  <si>
    <t>kpl.</t>
  </si>
  <si>
    <t>VODOVOD: Vsi podatki o opremi (vodomer, cevi..), so podani v načrtu strojnih instalacij.</t>
  </si>
  <si>
    <t>Postavitev napisnih tabel (pozor gradbišče, tabla z imenom izvajalca, projektantskega podjetja, nadzornega organa…) v času gradnje (v skladu z GZ-1, 14. in 15. členom, ter Pravilnikom o gradbiščih, Uradni list RS, št. 55/08, 66/10, zlasti 8. členom)</t>
  </si>
  <si>
    <t xml:space="preserve">Izpust fekalne kanalizacije iz objekta je predviden v  javno  kanalizacij preko obstoječega jaška, ki je na parceli investitorja. </t>
  </si>
  <si>
    <t>Dimenzije nosilcev, plošč kot tudi kvaliteta betona in  armatura je določena v načrtu gradbenih konstrukcij.</t>
  </si>
  <si>
    <t>Komplet dobava in vgradnja koalescentnega, povoznega, lovilca olj in maščob, z vgrajenim ali ločenim predhodnim peskolovom, ki je del sistema odvodnjavanja, skladno s standardoma SIST EN 858-1 in SIST EN 858-2.. Kapacitete cca. 6–20 L/s (2 dvigali + normalna obremenitev).</t>
  </si>
  <si>
    <t>Končna lokacija, dimenzije in vsi tehnični detajli vgradnje se določijo in uskladijo v fazi izvedbe med investitorjem, proizvajalcem dvigala in izvajalcem.</t>
  </si>
  <si>
    <r>
      <t>Komplet dobava vsega potrebnega materiala, ter naprava in vgrajevanje armiranega betona</t>
    </r>
    <r>
      <rPr>
        <sz val="10"/>
        <color indexed="10"/>
        <rFont val="Arial CE"/>
        <charset val="238"/>
      </rPr>
      <t xml:space="preserve"> </t>
    </r>
    <r>
      <rPr>
        <sz val="10"/>
        <rFont val="Arial CE"/>
        <charset val="238"/>
      </rPr>
      <t>C25/30, v</t>
    </r>
    <r>
      <rPr>
        <sz val="10"/>
        <color indexed="8"/>
        <rFont val="Arial CE"/>
        <family val="2"/>
        <charset val="238"/>
      </rPr>
      <t xml:space="preserve"> vidne in nevidne armirane betonske konstrukcije - AB stebri ter vertikalne in horizontalne  vezi  opečnih sten, vključno z napravo betona, pomožnimi deli in prenosi oz. vsemi potrebnimi deli.</t>
    </r>
  </si>
  <si>
    <r>
      <t xml:space="preserve">  - vgrajen beton mora izpolnjevati za</t>
    </r>
    <r>
      <rPr>
        <sz val="10"/>
        <rFont val="Arial CE"/>
        <charset val="238"/>
      </rPr>
      <t>hteve SIST EN 206,</t>
    </r>
    <r>
      <rPr>
        <sz val="10"/>
        <rFont val="Arial CE"/>
        <family val="2"/>
        <charset val="238"/>
      </rPr>
      <t xml:space="preserve"> glede zahtev za sveži beton, strjen beton, odpornosti betona proti delovanju lokalnega okolja in s tem povezano obnašanje v konstrukcije v katero je vgrajen, odpornost na vlago, trajnost in ostale zahteve-vse v skladu z zahtevami namembnosti projekta in posameznih konstrukcij v njem,</t>
    </r>
  </si>
  <si>
    <t>Izvajalec je dolžan pri izvajanju del urediti gradbišče vskladu z Zakonom o varstvu in zdravju pri delu in ostalimi zakonskimi določil. Dela  izvajati v skladu z veljavnimi tehničnimi predpisi, normativi in upoštevati predpise iz zdravja in varstva pri delu ter projektno dokumentacijo!</t>
  </si>
  <si>
    <t>cena/enoto v EUR</t>
  </si>
  <si>
    <r>
      <t xml:space="preserve">Izvajalec je dolžan na svoje stroške pred pričetkom del opraviti ogled terena, ugotoviti potek ter globino vseh komunalnih vodov na področju gradbišča, ter izvesti ustrezno zaščito morebitnih komunalnih vodov na področju gradbišča. </t>
    </r>
    <r>
      <rPr>
        <sz val="10"/>
        <color indexed="8"/>
        <rFont val="Tahoma"/>
        <family val="2"/>
        <charset val="238"/>
      </rPr>
      <t>Vsa dela morajo potekati v skladu z GZ 1B ter z vsemi veljavnimi pravilniki</t>
    </r>
    <r>
      <rPr>
        <sz val="10"/>
        <rFont val="Arial CE"/>
        <family val="2"/>
        <charset val="238"/>
      </rPr>
      <t>.</t>
    </r>
  </si>
  <si>
    <t xml:space="preserve">Izkop gradbene jame mora biti opravljen v prisotnosti geomehanika, oziroma potrebno je pred začetkom izvedbe zemeljskih del pregledati geotehnično poročilo, po izkopu gradbene jame pa teren pregleda geomehanik! </t>
  </si>
  <si>
    <t>- izkop zemlje za izvedbo temeljne plošče vključno z pasovnimi ojačitvami. Globina izkopa  je od 90 cm do 110 cm.</t>
  </si>
  <si>
    <t>- za temelje objekta</t>
  </si>
  <si>
    <t>- izkop za razširitev poti  g=0,70 m, in izvedbo zunanjega stopnišča s klančino g= od 50 cm do 30 cm.</t>
  </si>
  <si>
    <t>- za razširitev poti in zunanje stopnišče s klančino</t>
  </si>
  <si>
    <t>- razširitev poti in zunanje stopnišče s klančino  cca d=40 cm</t>
  </si>
  <si>
    <r>
      <t>Komplet dobava vsega potrebnega materiala, ter naprava in vgrajevanje nearmiranega betona - podbeton (npr. C12/15), preseka do 0,12m</t>
    </r>
    <r>
      <rPr>
        <sz val="10"/>
        <rFont val="Arial"/>
        <family val="2"/>
        <charset val="238"/>
      </rPr>
      <t>³</t>
    </r>
    <r>
      <rPr>
        <sz val="10"/>
        <rFont val="Arial CE"/>
        <family val="2"/>
        <charset val="238"/>
      </rPr>
      <t>/m,</t>
    </r>
    <r>
      <rPr>
        <sz val="10"/>
        <color indexed="10"/>
        <rFont val="Arial CE"/>
        <family val="2"/>
        <charset val="238"/>
      </rPr>
      <t xml:space="preserve"> </t>
    </r>
    <r>
      <rPr>
        <sz val="10"/>
        <rFont val="Arial CE"/>
        <family val="2"/>
        <charset val="238"/>
      </rPr>
      <t xml:space="preserve">debeline 10 cm v nevidne betonske konstrukcije - pod temeljno ploščo objekta, vključno z napravo betona, pomožnimi deli in prenosi. </t>
    </r>
  </si>
  <si>
    <t>2.2</t>
  </si>
  <si>
    <t>- temeljna plošča d=0,25 m</t>
  </si>
  <si>
    <t>-podbeton za prizidek</t>
  </si>
  <si>
    <t>-podbeton za zunanje stopnišče s klančino</t>
  </si>
  <si>
    <t>Površinski strojni odriv humusa debeline 20 cm po celi površini objekta, vključno z odrivom na gradbiščno deponijo, ki jo določi izvajalec. Zajeti tudi odriv humusa za razširitev poti na vzhodni strani objekta ter odstranitev asfalta za izvedbo zunanjih stopnišč s klančino.</t>
  </si>
  <si>
    <t>Odstranitev betonske klančine z betonskim zidom na severni strani, vključno z odvozom na javno deponijo, ki je določi izvajalec že v času oddaje ponudbe. Klančina z zidom je med OŠ in igriščem</t>
  </si>
  <si>
    <t>- AB stebri; višina h = 3,3 m</t>
  </si>
  <si>
    <t>- AB horizontalni nosilec nad premično steno dim 20/30 cm, dolžine 7,8 m m</t>
  </si>
  <si>
    <t>- geotekstil</t>
  </si>
  <si>
    <t xml:space="preserve">-  izvedba toplotne izolacije pod AB talno ploščo, ekstrudirani polistiren (XPS), z brušeno površino, debeline 10 cm, </t>
  </si>
  <si>
    <t>-  hidroizolacija ravne strehe</t>
  </si>
  <si>
    <t>- izvedba  toplotne izolacije atike, EPS, debeline 5 cm.</t>
  </si>
  <si>
    <t>Komplet dobava vsega potrebnega materiala in naprava horizontalne hidroizolacije na ravni strehi, vključno z izvedbo preklopov in  zaključkov ob stenah, tudi pri obstoječem objektu, ter zaključkov pri atiki. V ceno potrebno zajeti vsa potrebna dela kot tudi izvedbo hidroizolacije pod zunanjim stopniščem in klančino.</t>
  </si>
  <si>
    <t>- zid d = 25 cm</t>
  </si>
  <si>
    <t xml:space="preserve">- zid d = 15 cm </t>
  </si>
  <si>
    <t>- AB horizontalni nosilci (atika) dim 30/20 cm, l = 41,0 m</t>
  </si>
  <si>
    <t>- AB preklada, nad notranjimi vratmi, širine 2,2 m</t>
  </si>
  <si>
    <t>- pritličje: višina do 4,0 m</t>
  </si>
  <si>
    <t>Komplet dobava in montaža zunanjih fasadnih odrov po celi površini zunanje fasadne stene, po končanih delih demontaža, komplet z zavarovanjem pred padanjem materiala na tla. Višina  prizidka od terena do najvišeg roba atike je 4,7 m (podana je površina fasade)</t>
  </si>
  <si>
    <t>4.6</t>
  </si>
  <si>
    <t>4.7</t>
  </si>
  <si>
    <t>4.8</t>
  </si>
  <si>
    <t xml:space="preserve"> - opaž z ene strani temeljne plošče višine 20 cm</t>
  </si>
  <si>
    <t xml:space="preserve"> - opaž robnega temelja z bled ploščami višine 122 cm</t>
  </si>
  <si>
    <t xml:space="preserve"> -opaž  za izvedbo stropne AB plošče </t>
  </si>
  <si>
    <t xml:space="preserve"> -opaž za izvedbo stebrov, višina 3,1 m </t>
  </si>
  <si>
    <t>- AB horizontalni nosilci (nad okni invrati) dim 30/40 cm, l = 60,0 m</t>
  </si>
  <si>
    <t>Izvedba opaža AB stropne plošče, horizontalnih nosilcev, stebrov,  ter preklad nad okni in vrati iz vodoodpornih vezanih opažnih plošč (film–film), vključno z dobavo, montažo in odstranitvijo opaža. V ceni zajeta vsa potrebna dela (čiščenje, zlaganje materiala ipd.) ter vsi transporti.</t>
  </si>
  <si>
    <t>- opaž za preklade nad notranjimi dvokrilnimi vrati</t>
  </si>
  <si>
    <t xml:space="preserve"> -opaž za izvedbo horizontalnih nosilcev nad okni, vrati  in atiko</t>
  </si>
  <si>
    <t xml:space="preserve">Montažne steni </t>
  </si>
  <si>
    <t xml:space="preserve">Montažna dela se morajo izvajati po določilih veljavnih tehničnih predpisov in normativov ter veljavnimi standardi. </t>
  </si>
  <si>
    <t>Razna manjša montažna dela, dela v režiji in ostala nepredvidena dela. Ocenjeno; obračun po dejanskih porabah ur dela in materiala.</t>
  </si>
  <si>
    <t xml:space="preserve">Skupaj montažna dela </t>
  </si>
  <si>
    <t>- spuščen strop h=30 cm</t>
  </si>
  <si>
    <t>- spuščen strop h=60 cm</t>
  </si>
  <si>
    <t>Vse dimenzije so določene v načrtu arhitekture in načrtu gradbenih konstrukcij.</t>
  </si>
  <si>
    <r>
      <t>* Obračun kleparskih del se obračunava naslednje: Čelne obrobe, venci in police po m</t>
    </r>
    <r>
      <rPr>
        <vertAlign val="superscript"/>
        <sz val="10"/>
        <rFont val="Arial CE"/>
        <family val="2"/>
        <charset val="238"/>
      </rPr>
      <t>1</t>
    </r>
    <r>
      <rPr>
        <sz val="10"/>
        <rFont val="Arial CE"/>
        <family val="2"/>
        <charset val="238"/>
      </rPr>
      <t xml:space="preserve"> merjeno pri odkapniku, zidne in druge obrobe po m</t>
    </r>
    <r>
      <rPr>
        <vertAlign val="superscript"/>
        <sz val="10"/>
        <rFont val="Arial CE"/>
        <family val="2"/>
        <charset val="238"/>
      </rPr>
      <t>1</t>
    </r>
    <r>
      <rPr>
        <sz val="10"/>
        <rFont val="Arial CE"/>
        <family val="2"/>
        <charset val="238"/>
      </rPr>
      <t xml:space="preserve">  merjeno po sredini obrobe,  žlebovi po m</t>
    </r>
    <r>
      <rPr>
        <vertAlign val="superscript"/>
        <sz val="10"/>
        <rFont val="Arial CE"/>
        <family val="2"/>
        <charset val="238"/>
      </rPr>
      <t>1</t>
    </r>
    <r>
      <rPr>
        <sz val="10"/>
        <rFont val="Arial CE"/>
        <family val="2"/>
        <charset val="238"/>
      </rPr>
      <t xml:space="preserve">  merjeno po zunanjem robu žlebu, odtočne cevi po m</t>
    </r>
    <r>
      <rPr>
        <vertAlign val="superscript"/>
        <sz val="10"/>
        <rFont val="Arial CE"/>
        <family val="2"/>
        <charset val="238"/>
      </rPr>
      <t>1</t>
    </r>
    <r>
      <rPr>
        <sz val="10"/>
        <rFont val="Arial CE"/>
        <family val="2"/>
        <charset val="238"/>
      </rPr>
      <t xml:space="preserve">  merjeno po osi cevi tako, da se za vsak prelom doda 0.50 m</t>
    </r>
    <r>
      <rPr>
        <vertAlign val="superscript"/>
        <sz val="10"/>
        <rFont val="Arial CE"/>
        <family val="2"/>
        <charset val="238"/>
      </rPr>
      <t>1</t>
    </r>
    <r>
      <rPr>
        <sz val="10"/>
        <rFont val="Arial CE"/>
        <family val="2"/>
        <charset val="238"/>
      </rPr>
      <t xml:space="preserve">  cevi.</t>
    </r>
  </si>
  <si>
    <t>* Kleparska dela zajemajo, snemanje potrebnih izmer na objektu samem, pregled izvršenih podlog in fino čiščenje pred pričetkom dela, dobavo in položitev vseh kleparskih delov (atika iz  AL pločevine, odtočni žlebovi in cevi) dobavo osnovnega, pomožnega in pritrdilnega materiala, delo v delavnici in na montaži, cinkanje, oziroma miniziranje vseh železnih izdelkov, ki so v neposrednem stiku s pločevino, prevoz izdelkov na objektu z nakladanjem, ekspeditom, razkladanjem, skladiščenjem in notranjim prenosom do mesta vgraditve, čiščenje izdelkov po delu.</t>
  </si>
  <si>
    <t>- ograja na zunanjem stopnišču</t>
  </si>
  <si>
    <t>- ročaj ob klančini</t>
  </si>
  <si>
    <t>8.3</t>
  </si>
  <si>
    <t>O2 –   160/80 cm, dvokrilno okno, odpiranje po vertikalni in horizontalni osi z mehaničnim pogonom.</t>
  </si>
  <si>
    <t>- štokan beton, talna površina</t>
  </si>
  <si>
    <t>Zaključna obdelava pohodnih površin klančine in zunanjega stopnišča -  štokan beton (mehansko hrapavljena površina), ki zagotavlja povečano protidrsnost in varno uporabo v vseh vremenskih pogojih. V ceno zajeti vsa potrebna dela.</t>
  </si>
  <si>
    <t xml:space="preserve"> Možna je sprememba in sicer v skladu po dogovoru in z  željami investitorja.</t>
  </si>
  <si>
    <t>- nizkostenska obroba v hodniku in shrambi za igralne pripomočke (h = 10,00 cm), enaka kvaliteta keramike kot je talna obloga</t>
  </si>
  <si>
    <t>- cokl</t>
  </si>
  <si>
    <t xml:space="preserve">Komplet dobava in obdelava zunanjih ometanih špalet vrat, brez spodnje špalete, za površine odprtin večje od 5 m2, vključno z vogalnimi profili, tesnjenje (trakovi, pena), toplotno izolacijo, fino obdelavo,  in vsemi pomožnimi deli. Barva špalet je enake kvalitete kot barva fasade, oddtenek uskladiti s celotno fasado objekta. </t>
  </si>
  <si>
    <t xml:space="preserve">- špalete vrat, globine do 50 cm, vrata V1 </t>
  </si>
  <si>
    <t>- špalete vrat, globine do 45 cm, Vrata V7</t>
  </si>
  <si>
    <t>-podbeton za oporni zid med OŠ in igriščem l=5,3 m</t>
  </si>
  <si>
    <t>- za ureditev obstoječe klančine med šolo in igriščem, gramozni nasip na pripravljeno in utrujeno podlago, globine cca 1,0 m,  primerno za izvedbo asfaltiranega sloja.</t>
  </si>
  <si>
    <t>RAZŠIRITEV OBSTOJEČE DOSTOPNE POTI IN REKONSTRUKCIJA DOSTOPA (klančina) MED OSNOVNO ŠOLO IN IGRIŠČEM</t>
  </si>
  <si>
    <t>OPOMBA: odvodnjavanje v obstoječe peskolove</t>
  </si>
  <si>
    <t>Izdelava varnostnega načrta na gradbišču v času gradnje (v skladu z ZVZD-1, 17. in 18. členom, ter Pravilnikom o varnosti in zdravju pri delu na začasnih in premičnih gradbiščih, Uradni list RS, št. 83/05)</t>
  </si>
  <si>
    <t>10.2</t>
  </si>
  <si>
    <t>Komplet dobava in vgradnja vinilne talne obloge (kot marmoleum)  v večnamenskem prostoru, oz. po izbiri investitorja. V ceno zajeti izvedbo zaokrožnic, ter vsa potrebna dela in material.</t>
  </si>
  <si>
    <t>- vinilna talna obloga in zaokružnice, kot marmoleum</t>
  </si>
  <si>
    <t>- odriv humusa za razširitev poti na vzhodni strani objekt,  za izvedbo zunanjih stopnišč s klančino ter novega podesta za izhod na dvorišče</t>
  </si>
  <si>
    <t>- AB za zunanje stopnišče s klančino  ter za  novi izhod na dvorišče; d=20-60 cm</t>
  </si>
  <si>
    <t>-  vertikalna in horizontalna hidroizolacija talne plošče, ter stopnišča s klančino in novega izhoda na dvorišče</t>
  </si>
  <si>
    <t>- talna, nedrseča keramika - granitogres, v 2 barvi, vključno z niskostensko obrobo enake kvalitete kot talna obloga</t>
  </si>
  <si>
    <t>4.5</t>
  </si>
  <si>
    <t xml:space="preserve">- Izvedba toplotna izolacija EPS 100, nad AB talno ploščo, debeline 8 cm. </t>
  </si>
  <si>
    <t xml:space="preserve">Komplet dobava vsega potrebnega materiala, ter naprava in vgrajevanje armiranega betona, v nevidne armirane betonske konstrukcije(npr. C16/20) – AB temeljna plošča, robni pasovni temelj, vključno z napravo betona, potrebno armaturo, pomožnimi deli in prenosi. Vse nevidne AB konstrukcije vključno z armaturo izvesti v skladu s statičnim izračunom, ki je priloga gradbenih konstrukcij v PZI. </t>
  </si>
  <si>
    <t>- robni pasovni temelj, h=1,22 m</t>
  </si>
  <si>
    <t xml:space="preserve">Komplet dobava materiala in naprava visokovredne toplotne izolacije vgrajeno nad in pod talno ploščo vključno s ločilnim slojem, PE folijo vgrajeno nad termo izolacijo EPS, ter PVC folijo vgrajeno pod termo izolacijp XPS. V ceno je potrebno zajeti vsa potrebna dela in material za izvedbo. </t>
  </si>
  <si>
    <t>Komplet dobava vsega potrebnega materiala in naprava horizontalne in vertikalne hidroizolacije na predhodno izravnano podlag, ki bo iz ene lege varilnega traku (kot Izotekt T4) na enkratni hladni premaz z ibitolom, vključno z izvedbo preklopov in eventualnih zaključkov ob stenah. V ceno potrebno zajeti vsa potrebna dela kot tudi izvedbo hidroizolacije pod zunanjim stopniščem in klančino ter novega izhoda na dvorišče.</t>
  </si>
  <si>
    <t>Razna dela:</t>
  </si>
  <si>
    <t>Komplet dobava in vgradnja montažne, Al ograje (zunanje stopnišče, klančina), temno sivi odtenek ter ročaja ob klančini.  Ograja je iz AL stebričkovz lesenim, impregniranim, ročajem. Ograja je višine 100 cm, razmik med stebrički pa je 12 cm.  Glede na zahteve investitorja je ograja lahko tudi druge izvedbe.</t>
  </si>
  <si>
    <t>Na zunanjem stopnišču se vgradi ročaj na AL nosilcih, sidranih v steno objekta, z zgornjim robom ročaja na višini 90 cm nad zgornjo  linijo klančine. Ročaj je lesen, impregniran.</t>
  </si>
  <si>
    <t>8.4</t>
  </si>
  <si>
    <t>- izvedba ograje na novem opornem zidu,  AL izvedbe oz. enaka kot že obstoječa ograja proti igrišču. Vse dimenzije preveriti na gradbišču.</t>
  </si>
  <si>
    <t>+ V prostorih za otroke (večnamenski prostor) morajo biti vsi vogali do 1,20 m zavarovani s kotnimi zaobljenimi profili.</t>
  </si>
  <si>
    <t>Žaluzije so z motornim pogonom. Barva antracit (7016)</t>
  </si>
  <si>
    <t>O4 – 180/200 cm, dvokrilno okno, odpiranje po vertikalni in horizontalni osi z mehaničnim pogonom.</t>
  </si>
  <si>
    <t>O3 -  300/80 cm, štirikrilno okno, odpiranje po vertikalni in horizontalni osi z mehaničnim pogonom.</t>
  </si>
  <si>
    <t>O5 -   215/200 cm, dvokrilno, odpiranje po vertikalni in horizontalni osi z mehaničnim pogonom.</t>
  </si>
  <si>
    <t>9.4</t>
  </si>
  <si>
    <t>9.5</t>
  </si>
  <si>
    <t>Postavitev komplet gradbiščnih kontejnerjev, prenosni WC sanitarne opreme, varovanje objekta in gradbišča, postavitev gradbiščne table (kom 1), čiščenje cest v času gradnje, črpanje meteorne vode v primeru potrebe odstranitev po končani gradnji ter vseh nepredvidenh del.</t>
  </si>
  <si>
    <t>- Gradbiščni kontejnerji, sanitarna oprema, lopa, nadstreški,….</t>
  </si>
  <si>
    <t>- Čiščenje cest v času gradnje (ocena)</t>
  </si>
  <si>
    <t>Zakoličba objekta in gradbišča vključno z vsemi obstoječimi komunalnimi in energetskimi vodi, eventualne premestitve vodov, nadzor in obveščanje upravljavcev oz. soglasodajalcev.</t>
  </si>
  <si>
    <r>
      <t xml:space="preserve">Novi </t>
    </r>
    <r>
      <rPr>
        <sz val="11"/>
        <rFont val="Arial CE"/>
        <charset val="238"/>
      </rPr>
      <t>prizidek se bo priključeval na obstoječe vode inštalacije tako, da se bodo med gradnjo uporabljali obstoječi priključki za vodo in elektriko. Na podlagi tega gradbeni provizorij ni predviden.</t>
    </r>
  </si>
  <si>
    <t>- izkop za temelj opornega zidu med OŠ in igriščem l=5,3 m, g=0,6 m, š=0,5 m. Kombinirani strojni in ročni izkop.</t>
  </si>
  <si>
    <t>Ročno planiranje - utrjevanje dna izkopa gradbene jame za konstrukcijo robnih temeljev in tal, z nabijanjem do točnosti +-3cm, vključno z dobavo in izvedbo geotekstila na utrjeno podlago.GEOTEKSTIL 300 g/m2, natezne trdnosti najmanj 25 kN/m. Mehansko utrjena geotekstilija iz neskončnih niti, UV stabiliziran polipropilen, ki preprečuje posedanje in zamuljenje tamponskega nasipa.</t>
  </si>
  <si>
    <t>Nadzor geologa v času izkopa zemljine za izvedbo temeljenja. Izdelava končnega poročila in sodelovanje pri iskopih v času izvajanja</t>
  </si>
  <si>
    <t>OPOMBA</t>
  </si>
  <si>
    <t>Ureditev zelene površin po odstranitvi klančine med šolo in  igriščem ter površin ob obstoječimi stopnicam, ki se ohranijo, dimenzij cca 1,6 m x 5,3 m +  dim. cca 1,5 m x 7,3 m in  na severni strani pred novim prizidkom, dim. cca 6,0 m x 17,0 m in . V ceno zajeti navbavo trave, pripravo podlage za sejanje tave, humuziranje,  zatravnitev ter vsa potrebna dela in drugi materiali.</t>
  </si>
  <si>
    <r>
      <t>m</t>
    </r>
    <r>
      <rPr>
        <vertAlign val="superscript"/>
        <sz val="10"/>
        <rFont val="Arial CE"/>
        <charset val="238"/>
      </rPr>
      <t>3</t>
    </r>
  </si>
  <si>
    <t>- Razvoz, razstiranje in fino planiranje humusa - razvoz, na predvidene zelene površine v debelini 20 cm, sejanje  travnega semena, valjanje..</t>
  </si>
  <si>
    <t xml:space="preserve">Projektantski nadzor nad izvedbo del, ter podajanje projektantskih rešitev. </t>
  </si>
  <si>
    <t>- projektantski nadzor</t>
  </si>
  <si>
    <t xml:space="preserve">- Gradbiščne table pred vhodom na gradbišče,  (pozor gradbišče, tabla z imenom izvajalca, projektantskega podjetja, nadzornega organa…) </t>
  </si>
  <si>
    <t xml:space="preserve">* Za višino prostorov nad 4,0 m se postavitev, premeščanje in odstranitev premičnih odrov obračunajo posebej.   </t>
  </si>
  <si>
    <t xml:space="preserve">- spuščen strop,  stiki bandažirani in kitani, površina fino obdelana, brušena, impregnirana in dvakrat barvana (2x) z notranjo belo barvo oz. po izbiri investitorja.   </t>
  </si>
  <si>
    <t xml:space="preserve">Komplet dobava materiala in izvedba opleskov (2 x) celotnih površin (po kitanju in brušenju). </t>
  </si>
  <si>
    <t>- stene, dvakrat barvane (2x) barva pralna, primerna za večnamenske prostore namenjenih za otroke, kot JUB Jupol ali enakovredno.</t>
  </si>
  <si>
    <t>- kotni zaobljeni profili h=1,2</t>
  </si>
  <si>
    <t xml:space="preserve">Dobava in vgradnja zaščitnih zaobljenih kotnih profilov iz mehke gume (PVC) elastomera za zaščito vogalov sten v večnamenskom prostoru,  višine 1,20 m, vključno z lepljenjem oziroma mehanskim pritrjevanjem na pripravljeno podlago, vse komplet. V ceno potrebno zajeti vsa potrebna dela in material. </t>
  </si>
  <si>
    <t>Izvedba dveh (2) montažnih lesenih sten dim.  1,57 m x 3,3 m,  d=25 cm, za zapiranje dostopnega obstoječega hodnika. V ceno zajeti material, dostavo in montažo stene. Konstrukcija montažne stene je lesena in je v sestavi:                                                           - zaključni fasadni sloj  
- fasadna toplotna izolacija (kamena volna) 5 cm
- lesene plošče (kot OSB) 1 cm
- toplotna izolacija (kamena volna) 16 cm, vgrajena med leseno konstrukcijo
- lesene plošče (kot OSB) 1 cm
- mavčne plošče, vodoodporne, 2 cm
- notranji zaključni sloj</t>
  </si>
  <si>
    <t>V ceno zajeti: dostavo, razrez, prilagoditve, zaključki ob stikih ter vsa potrebna dela in material za izvedbo.</t>
  </si>
  <si>
    <t>6.4</t>
  </si>
  <si>
    <t>6.5</t>
  </si>
  <si>
    <t>- preklade za enokrilna vrat dim. 100/220, d = 25 cm</t>
  </si>
  <si>
    <t xml:space="preserve">- preklade za drsna vrata dim. 100/210, d = 15 cm </t>
  </si>
  <si>
    <t>Nosilni zid iz brušene votle opeke deb. 30 cm, skladno z elaboratom GF, z zahtevanimi mehanskimi in toplotnimi lastnostmi, zidanje v tankoslojni malti ali PU-lepilu, tip kot npr. Wienerberger Porotherm 30 Profi ali enakovredno V ceno potrebno zajeti zazidavo vsa potrebna dela in material.</t>
  </si>
  <si>
    <t>Dobava in montaža tipskih prednapetih opečnih preklad, vključno z izdelavo ležišča na predpisano širino. Preklada kot npr. Wienerberger Porotherm. Preklado pred uporabo namočiti. Komplet z vsemi prenosi in pomožnimi deli. V ceno zajeti  vsa potrebna dela in materi (preklade nad notranjimi vrati).</t>
  </si>
  <si>
    <t xml:space="preserve">Komplet dobava materiala in naprava notranjih, grobih in finih strojnih ometov, opečnih, sten. Naprava v apneni malti. V ceno potrebno zajeti vsa potrebna dela. </t>
  </si>
  <si>
    <t xml:space="preserve">Komplet dobava in vgradnja geotekstila gramature 200 g/m², na pripravljeno, izravnano zemljino. Geotekstil je položen pod gramoznim nasutjem. V ceno potrebno zajeti razgrinjanje, preklop, rezanje in vsa potrebna dela. </t>
  </si>
  <si>
    <t>- Izvedba toplotna izolacija v naklonu, na ravni strehi, EPS, za vertikalno zaščito hidroizolacoje, debeline cca 30 cm (glej risbo št. 3.2 - Tloris odvodnjavanja ravne strehe)</t>
  </si>
  <si>
    <t xml:space="preserve">- Izvedba toplotna izolacija XPS 100, debeline 15 cm ter višine 165 cm, vključno s PVC čepasto folijo, za vertikalno zaščito hidroizolacoje, komplet z vsemi deli in prenosi. </t>
  </si>
  <si>
    <t>Izvedba prebojev in prehodov instalacij skozi stene in stropove z vrtanjem, dolbljenje sten različnih dimenzij za inštalacije, vključno z kasnejšim popravilom.(ocena)</t>
  </si>
  <si>
    <t>4.9</t>
  </si>
  <si>
    <r>
      <t xml:space="preserve">Izvedba </t>
    </r>
    <r>
      <rPr>
        <b/>
        <sz val="10"/>
        <rFont val="Arial Narrow"/>
        <family val="2"/>
        <charset val="238"/>
      </rPr>
      <t>odprtin</t>
    </r>
    <r>
      <rPr>
        <sz val="10"/>
        <rFont val="Arial Narrow"/>
        <family val="2"/>
        <charset val="238"/>
      </rPr>
      <t xml:space="preserve"> za omarico talnega gretja, elektro omarico, komplet z zidarsko obdelavo. (ocena)</t>
    </r>
  </si>
  <si>
    <t>pnevmatsko kladivo</t>
  </si>
  <si>
    <t>Dobava, postavitev in odstranitev opaža robnega, pasovnega temelja višine 122 cm ter opaža z ene strani AB plošče iz vodoodpornih vezanih opažnih plošč (film–film), kompletno z vsemi pomožnimi deli, vključno z vsemi podpornimi elementi, sidranjem, poravnavo, tesnjenjem stikov in nanosom ločilnega sredstva. V ceni zajeto tudi transport, razopaževanje in čiščenje opaža.</t>
  </si>
  <si>
    <t>- komplet izvedba dvižne, lahko tudi drsne pregradne stene, oz. po izbiri investitorja.</t>
  </si>
  <si>
    <t>Dobava in ugradnja dvižne pregradne stene, kot Elan, Skayfold, Severna zvezda d.o.o... oz.  v skladu z željam in izbiri investitorja. Predvidena stena je lažje izvedbe ki je namenjena razdelitvi večnamenskega prostora na dva dela,  montirana na stropni nosilec, brez posebnih akustičnih zahtev, z obdelavo po izboru investitorja, vključno z vodili, nosilnim sistemom, montažo in vsemi pomožnimi deli. Dolžina stene je 7,7 m, višina prostora je 3,3 m, po izvedbi spuščenega stropa pa je svetla višina 3,0 m.  V ceno je potrebno zajeti vsa potrebna dela in material za izvedbo. (ocena)</t>
  </si>
  <si>
    <t>Prevoz in montaža PVC/ALU vrat in oken z žaluzijami.</t>
  </si>
  <si>
    <r>
      <t xml:space="preserve">Komplet dobava in montaža zunanjih PVC/ALU  vrat, Al podboj (hladna profilacija) kot AR Cont, zastekljena z  </t>
    </r>
    <r>
      <rPr>
        <sz val="10"/>
        <rFont val="Arial"/>
        <family val="2"/>
        <charset val="238"/>
      </rPr>
      <t>varnostnim, kaljenim, lepljenim, izolacijskim steklom,</t>
    </r>
    <r>
      <rPr>
        <sz val="10"/>
        <rFont val="Arial"/>
        <family val="2"/>
        <charset val="1"/>
      </rPr>
      <t xml:space="preserve"> termopan 3 slojna zasteklitev, K = 0,9, petkomorni profil s prekinjenim toplotnim mostom. Steklo je kaljeno, varnostno, z zaščito proti hrupu. Z zunanje strani je barva vrat temno siva, z notranje pa bela. V ceno zajeti, kljuko, cilinder ključavnico in ključ ter vsemi potrebnimi deli.  OPOMBA: možna je sprememba materiala, oblike, odpiranja vrat,  ter dodatne zaščite v steklu (ug faktor, sonce...) oz.  v skladu z željam in izbiri investitorja. </t>
    </r>
  </si>
  <si>
    <t>6.6</t>
  </si>
  <si>
    <t>- komplet kabina WC s predelno steno za pisoar (ocena)</t>
  </si>
  <si>
    <t>- prevoz, montaža</t>
  </si>
  <si>
    <t xml:space="preserve">Komplet dobava in montaža notranjih vrat.  Leseni podboj z zaobljenimi robovi, BARVA: bela (oz. po izboru projektanta) ; Vratno krilo polno leseno s sredico iz iverne plošče "Iverokal" , obojestransko obloženo z imitacijo furnirja, gladka površina, vključno s kljuko,Ključavnico (tipska cilindrična), sistemski ključ. ključavnico in univerzalnim ključem. Vrata so z rešetko za prezračevanje in so od talne obloge 1 cm dvignjena. V ceno potrebno zajeti vsa potrebna dela ter prevoz in montažo.  </t>
  </si>
  <si>
    <t>Komplet dobava in naprava fasadnega zaključnega sloja cokla, višine cca 60,0 cm, kot Baumit silikat putz-pvc v dveh barvah. V ceno potrebno zajeti vsa potrebna dela.</t>
  </si>
  <si>
    <t>13.3</t>
  </si>
  <si>
    <r>
      <t>Dobava in izdelava obrob iz plastificirane pločevine okrog prebojev za zračnike, razvite širine cca 60 cm, vključno z razrezom, oblikovanjem, pritrjevanjem, tesnjenjem in vsemi pomožnimi deli. Ocenjeno; obračun po dejanski kvadraturi porabljenega materiala.</t>
    </r>
    <r>
      <rPr>
        <b/>
        <sz val="10"/>
        <rFont val="Arial CE"/>
        <family val="2"/>
        <charset val="238"/>
      </rPr>
      <t xml:space="preserve"> </t>
    </r>
  </si>
  <si>
    <t>Komplet dobava in vgradnja montažne, Al ograje  na novem delu opornega zidu,  h cca 110 cm, ter nove ograje med otroškim igriščem in dostopnimi površinami h cca 2,0 m  vključno z dvokrilnimi vrati. V ceno zajeti vsa podreben material ter delo.</t>
  </si>
  <si>
    <t>- komplet dobava in vgradnja ograje višine cca 2,0 m z dvokrilnimi vrati, dolžine 4,50 m in 4,70 m, vključno s stebri, sidranjem, okovjem, zapiralom, montažo in vsemi pomožnimi deli.</t>
  </si>
  <si>
    <t xml:space="preserve">Komplet dobava barve  ter vrisovanje talnih označb, za dostope do vhodov ter vse potrebne talne označbe do šole. V ceno zajeti vsa potrebna dela in amterial za  vizualne označb (črte, simboli):
- taktilne oznak (za slepe)
- kontrastni robovi
- varni prehodi in klančine
- parkirno meso za invalide.              </t>
  </si>
  <si>
    <t>- dvoslojni asfalt v sestavi: 7 cm AC 22 base B 50/70 A3 in 4–5 cm AC 16 surf B 70/100 A3,</t>
  </si>
  <si>
    <r>
      <t>Komplet dobava in vgradnja finalnega talnega sloja  za preplastitev nove dostopne poti, P=128,0 m</t>
    </r>
    <r>
      <rPr>
        <vertAlign val="superscript"/>
        <sz val="10"/>
        <rFont val="Arial CE"/>
        <charset val="238"/>
      </rPr>
      <t>2</t>
    </r>
    <r>
      <rPr>
        <sz val="10"/>
        <rFont val="Arial CE"/>
        <family val="2"/>
        <charset val="238"/>
      </rPr>
      <t>, ter obstoječega dovoza, P=87,0 m</t>
    </r>
    <r>
      <rPr>
        <vertAlign val="superscript"/>
        <sz val="10"/>
        <rFont val="Arial CE"/>
        <charset val="238"/>
      </rPr>
      <t>2</t>
    </r>
    <r>
      <rPr>
        <sz val="10"/>
        <rFont val="Arial CE"/>
        <family val="2"/>
        <charset val="238"/>
      </rPr>
      <t>, po izvedbi gradnje Talna obloga je asfat, dvoslojni, na dobro utrjenom tamponu,  vključno z vsemi potrebnimi deli.</t>
    </r>
  </si>
  <si>
    <t>OPOMBA: zemljska dela so opisana v točki 1.</t>
  </si>
  <si>
    <t>Dobava in vgradnja meteorne kanalizacije iz PVC cevi DN 160 mm, SN ≥ 8 kN/m², v skupni dolžini cca 96 m, vključno z izkopom jarkov širine do 60 cm in globine 50–150 cm, peščeno posteljico deb. cca 20 cm, polaganjem cevi, dobavo in vgradnjo PVC peskolovov fi 400, PVC jaškov, zasipom z gramozom 16/32, priključitvami na obstoječe peskolove ter vsemi potrebnimi materiali in pomožnimi deli.</t>
  </si>
  <si>
    <t>- Ocenjeno za vsa predvidena dela in material za izvedbo</t>
  </si>
  <si>
    <t>- talne označbe na površini P=215 m2</t>
  </si>
  <si>
    <t>- lovilec olja za asfaltirano površino P=215,0 m2</t>
  </si>
  <si>
    <t>Izvedba priključka na obstoječo fekalno kanalizacijo šole, vključno z izkopom jarka do obstoječega jaška, peščeno posteljico, dobavo in polaganjem PVC kanalizacijske cevi fi 110 mm, SN ≥ 8 kN/m², zasipom z gramozom 16/32, priključitvijo na obstoječi jašek ter vsemi potrebnimi materiali in pomožnimi deli.</t>
  </si>
  <si>
    <t>- Ocenjeno za vsa predvidena dela</t>
  </si>
  <si>
    <t>Končni geodetski posnetek objekta in vseh podzemnih vodov vključno z izdelavo elaborata za vris objekta v kataster stavb in vris objekta v kataster stavb.</t>
  </si>
  <si>
    <t>Imenovanje koordinatorja v fazi priprave in v fazi izgradnje (v skladu z 4. členom Uredbe o zagotavljanu varnosti in zdravja pri delu Ur.list RS št. 83/05) - ocena 100,00 ur</t>
  </si>
  <si>
    <t>Komplet izvedba gradbenih profilov in zavarovanja gradbišča ob meji gradbene parcele, vključno z vzdolžnimi in prečnimi profili, gradbiščno ograjo višine 2,0 m ter dvokrilnimi vrati za dostop dim. 5,0 × 2,0 m, z vsemi potrebnimi deli in materialom.</t>
  </si>
  <si>
    <t>METEORNA IN FEKALNA KANALIZACIJA</t>
  </si>
  <si>
    <r>
      <t>m</t>
    </r>
    <r>
      <rPr>
        <vertAlign val="superscript"/>
        <sz val="10"/>
        <rFont val="Arial CE"/>
        <charset val="238"/>
      </rPr>
      <t>1</t>
    </r>
  </si>
  <si>
    <t>kos</t>
  </si>
  <si>
    <t>- GRADBIŠČNA OGRAJA:  Dobava, postavitev in odstranitev zaščitne gradbiščne ograje ob meji gradbišča, višine 2,0 m, vključno z vsemi podstavki, spojkami, stabilizacijami in pomožnimi deli.</t>
  </si>
  <si>
    <t>- DVOKRILNA VRATA ZA DOSTOP: Dobava, postavitev in odstranitev zaščitne gradbiščne ograje ob meji gradbišča, višine 2,0 m, vključno z vsemi podstavki, spojkami, stabilizacijami in pomožnimi deli.</t>
  </si>
  <si>
    <t>- GRADBENI PROFILIi: Izvedba gradbenih profilov za zakoličbo objekta, vključno z vzdolžnimi in prečnimi profili, lesenimi količki, deskami, označitvijo osi in vsemi pomožnimi deli.</t>
  </si>
  <si>
    <t>1.5</t>
  </si>
  <si>
    <t>Gradbeni provizoriji.</t>
  </si>
  <si>
    <t>Zakoličba trase vodovoda ter vseh obstoječih komunalnih in energetskih vodov, vključno z obveščanjem upravljavcev, nadzorom pri zakoličbi in morebitnimi manjšimi prilagoditvami oziroma premestitvami vodov, z vsemi potrebnimi deli.</t>
  </si>
  <si>
    <t>Rušitev dela napušča strehe nad obstoječim vhodom dimenzij cca 1,4 x 9,2 m ter odstranitev dela ograje ob stopnišča, dolžine cca 13,0 m. vključno z razrezom, demontažo, nakladanjem, odvozom odpadnega materiala na vnaprej določeno deponijo ter vsemi potrebnimi pomožnimi deli. V ceno zajeti vsa potrebna dela z odvozom odpadnega materiala na unaprej določeno deponijo.</t>
  </si>
  <si>
    <r>
      <t>Komplet dobava in montaža zunanjih PVC/ALU oken vključno z zunanjimi in notranjimi policami (kot AR Cont) ter zunanjimi žaluzijami. Z zunanje strani je barva oken antracit siva (7016), z notranje pa bela (po izbiri investitorja lahko tudi druga barva). Zasteklitev je s troslojnim, termopan steklom,(4:/18/4/18/4: Ug=0,50 W/m2K), petkomorni profil ter prekinjeni toplotni most. Okna se odpirajo po vertikalni in horizontalni osi.  Senčila (PVC ali Al žaluzije ) so na motor</t>
    </r>
    <r>
      <rPr>
        <sz val="10"/>
        <rFont val="Arial CE"/>
        <charset val="238"/>
      </rPr>
      <t xml:space="preserve">ni pogon. Steklo je kaljeno, varnostno, lepljeno, izolacijsko. </t>
    </r>
    <r>
      <rPr>
        <sz val="10"/>
        <rFont val="Arial CE"/>
        <family val="2"/>
        <charset val="238"/>
      </rPr>
      <t xml:space="preserve">OPOMBA: možna je sprememba materiala, oblike, odpiranja oken,  ter dodatne zaščite v steklu (ug faktor, sonce...) oz.  v skladu z željam in izbiri investitorja. </t>
    </r>
  </si>
  <si>
    <t>O1 – 90/80 cm, odpiranje po vertikalni in horizontalni osi, z mehaničnim pogonom. Okno je požarno EI 30.</t>
  </si>
  <si>
    <t>- Komplet dobava materiala in naprava toplotno izolacijske fasade celotnega objekta,  kamena volna kot FKD-N Thermal, debeline 20 cm, komplet z lepilno malto, mrežico, zaključki, obrobami in vsemi potrebnimi deli.</t>
  </si>
  <si>
    <t xml:space="preserve"> Dobava in vgradnja montažne predelne stene, kompakt plošče,  za WC kabino dim 1,60 x 2,10 m,  vključno z vratmi ter predelne stene za pisoar dim. cca 0,60 x 1,40 m. Predelna stena WC kabine je dvignjena 10 cm od poda. Vrata  so s ključavnico za sanitarne prostore.</t>
  </si>
  <si>
    <t xml:space="preserve">Dobava in naprava spuščenega stropa iz mavčno kartonskih, ognjeodpornih plošč, kot Knauf, vključno z kovinsko podkonstrukcijo za strop ter konstrukcijo za luči. Višina spuščenega stropa je 30 cm in 60 cm. </t>
  </si>
  <si>
    <t xml:space="preserve">* Okna in vrata morajo zagotavljati: visoko toplotno in zvočno izolativnost, odpornost na vremenske vplive, enostavno vzdrževanje. </t>
  </si>
  <si>
    <t>* Zunanja senčila in sicer ALU žaluzije, lahko  screen roloji,so  na elektro pogon z možnostjo centralnega upravljanja, ter z vodenjem v stranskih vodilih, ki so odporni na veter.</t>
  </si>
  <si>
    <t>Izdelava končnega atesta, meritev, vključno za betone in geološkega mnenja.</t>
  </si>
  <si>
    <t>kg</t>
  </si>
  <si>
    <t>Dobava in izvedba mikroarmiranih cementnih estrihov,  s PP vlakni, komplet z vsemi potrebnimi deli, dobavo, pripravo, vgradnjo, zagladitvijo in vsemi potrebnimi pomožnimi deli.</t>
  </si>
  <si>
    <t>- estrih v pritličju P=176 m2 ,debelina 8 cm.</t>
  </si>
  <si>
    <r>
      <t>m</t>
    </r>
    <r>
      <rPr>
        <vertAlign val="superscript"/>
        <sz val="10"/>
        <color indexed="8"/>
        <rFont val="Arial CE"/>
        <family val="2"/>
        <charset val="238"/>
      </rPr>
      <t>2</t>
    </r>
  </si>
  <si>
    <t>Komplet dobava in vgradnja predpražnika, kot Trakiza, pred vhodnimi vrati za  dim. cca 1,00 m x 2,40 m. V ceno potrebno zajeti vsa potrebna dela.</t>
  </si>
  <si>
    <t>Vsi podatko o priključku na obstoječo elektro omarico  so podani v načrtu elektroinstalacij.</t>
  </si>
  <si>
    <t>Vsi podatki v zvezi s priključitvijo na obstoječe vodovodno in kanalizacijsko omrežje so podani v načrtu strojnih inštalacij.</t>
  </si>
  <si>
    <t>Količine za  izkop jarkov za izvedbo meteorne kanalizacoje so podani v točki 14. Zunanja ureditev.</t>
  </si>
  <si>
    <t>Podatki za izvedbo fekalne in meteorno  kanalizacijo so podani v točki 14. Zunanja ureditev</t>
  </si>
  <si>
    <t>- armatura za strešna plošča, vertikalne vezi, nosilci C30/37 D max 16, PV-I, XC3:76,95 m3, (ocena 110 kg7m3)</t>
  </si>
  <si>
    <t>- armatura za talno ploščo, temelji: C25/30 D max 16, PV-I, XC3:72,62 m3 (ocena 90 kg/m3)</t>
  </si>
  <si>
    <t>Izdelava, dobava in montaža avtomatskih, požarnih, dvokrilnih drsnih vrat DOORSON 300 dimenzij  240 × 250 cm (gradbena odprtina), z 2 drsnima kriloma in 2 fiksnima obsvetlobama iz varnostnega izolacijskega stekla, vključno z vsemi tesnili.</t>
  </si>
  <si>
    <t>V3 - polna, drsna vrata dim. 80/210 cm. Drsna vrata so s  tipskim zgornjim vodilom, ki je vgrajeno v steno, nasadila, maska, kljuka s ključavnico za sanitarne prostore.</t>
  </si>
  <si>
    <t>V4 - 80/210 cm, polna vrata, enokrilna iz kompakt plošč, opisana pod točko 6.3</t>
  </si>
  <si>
    <t>V2 - 110/210+40 cm, vhodna vrata z nadsvetlobnikom, odpiranje navzven. zastekljena, podboj 50 cm, vključno s kljuko in ključavnico.</t>
  </si>
  <si>
    <t>V1 - 240/210+80 cm, vhodna vrata z nadsvetlobniko, podboj 50 cm, vključno s kljuko in ključavnico.</t>
  </si>
  <si>
    <t>V7 – 240/210 + 40 cm, ALU drsna, polna požarna vrata, požarne odpornosti EI 30-C. Vrata se v primeru požara samodejno zaprejo. Rezervno napajanje 10 minut. Odpiranje je ročno, ponovno zapiranje samodejno. V ceno zajeti kljuko in ključavnico.</t>
  </si>
  <si>
    <t>V5 - 100/220 cm, svetla odprtina 90/210 cm, enokrilna vrata, vključno s kljuko in ključavnico, podboj  25 cm.</t>
  </si>
  <si>
    <t>V3 - 100/210 cm, svetla odprtina 90/210 cm, polna, drsna vrata s  tipskim zgornjim vodilom, ki je vgrajeno v steno, nasadila, maska, kljuka s ključavnico (standardno), podboj 25 cm.</t>
  </si>
  <si>
    <t>V2 - 110/210+40 cm, vhodna, požarna vrata zastekljena, z nadsvetlobo, svetla odprtina krila 100/210 cm. Vrata so z napravo za zasilne izhode po SIST EN 179, odpiranje v prostor shrambe, podboj 50 cm, vključno s kljuko in ključavnico.</t>
  </si>
  <si>
    <t>V6 - 220/210+40 cm, dvokrilna vrata, svetla mera enega krila 105/210 cm. Vrata so zastekljena, nihajna vrata z nadsvetlobnikom, podboj 25 cm. Vrata so z napravo za zasilne izhode po SIST EN 179. V ceno zajeti kljuko in ključavnico.</t>
  </si>
  <si>
    <t>- odtočne,  verikalne cevi, vključno s priklopom na Obstoječo meteorno kanalizacijo preko peskolovov, Predvidene so 4 vertikala,  višine cca 6,0 m</t>
  </si>
  <si>
    <t>Nabava, izdelava, dobava in montaža atične kape, iz barvane ALU pločevine, deb. min. 1 mm, vključno z vso potrebno podkonstrukcijo, pritrdilnimi elementi, nosilci kape in vsem potrebnim materialom za izvedbo. Kapa se namesti na atično konstrukcijo, na katero se predhodno izvede fasadna izolacijska obloga.
razširena širina atične kapa ravne strehe objekta cca 75-85 cm
OPOMBA: Razvite širine atičnih kap so informativne, izbran izvajalec na licu mesta preveri in prilagodi razvite širine in način izvedbe atičnih kap.</t>
  </si>
  <si>
    <t>- žlote: Dobava in montaža horizontalnih žlot ob atiki, širine cca 30 cm, iz ALU pločevine, vključno s podkonstrukcijo in zaščitnimi rešetkami.</t>
  </si>
  <si>
    <t xml:space="preserve"> Komplet dobava in vgradnja dvoriščne kanalete dim. cca  13 x 14 x 100 cm, vključno s priklopom na meteorno kanalizacijo, rešetko, pritrdili, pripravo ležišča, montažo in vsemi pomožnimi deli.V ceno potrebno zajeti vsa potrebna dela.</t>
  </si>
  <si>
    <t>USKLAJEVANJE TADEJ</t>
  </si>
  <si>
    <t>- AB stropna plošča 25 cm</t>
  </si>
  <si>
    <t>- oporni zid dimenzij l=6,0 m, h=0,7+1,05 m, d=0,20 do 0,50 m</t>
  </si>
  <si>
    <t>Komplet dobava materiala in naprava utrjenega gramoznega nasutja (na utrjeno zemljino), debeline cca 60 cm, pod temeljno ploščo od 60 cm do 190 cm, vključno z nabijanjem gramoza po 20cm do predpisane nosilnosti, ter  priprava in vgradnjo gramoza za izvedbo razširitve poti in zunanje stopnišče s klančino. debeline 30 cm do 50 cm.</t>
  </si>
  <si>
    <t>- pod temeljno ploščo in temelje</t>
  </si>
  <si>
    <r>
      <t xml:space="preserve">Komplet dobava materiala, ter naprava in vgrajevanje armiranega betona deb. 25 cm, preseka </t>
    </r>
    <r>
      <rPr>
        <sz val="10"/>
        <rFont val="Arial CE"/>
        <charset val="238"/>
      </rPr>
      <t>do 0,25 m3/m1 z betonom  C 25/30  (MB 30)</t>
    </r>
    <r>
      <rPr>
        <sz val="10"/>
        <color indexed="10"/>
        <rFont val="Arial CE"/>
        <charset val="238"/>
      </rPr>
      <t xml:space="preserve"> </t>
    </r>
    <r>
      <rPr>
        <sz val="10"/>
        <rFont val="Arial CE"/>
        <family val="2"/>
        <charset val="238"/>
      </rPr>
      <t>nevidne armirane betonske konstrukcije. Debeline temeljne plošč je 25 cm oz. glede na statični izračun, ki je priložen v načrtu gradbenih konstrukcij. V ceno zajeti napravo betona, potrebno armaturo, pomožnimi deli in prenosi. Vsa dela izvesti v skladu s statičnim izračunom, ki je priloga gradbenih konstrukcij.</t>
    </r>
  </si>
  <si>
    <t>- odstranitev klančine  P=23,12 m2 (ocena)</t>
  </si>
  <si>
    <t>2.8</t>
  </si>
  <si>
    <t>17.</t>
  </si>
  <si>
    <t>* Vsa vrata  so brez pragov.</t>
  </si>
  <si>
    <t>* Vsa vrata, v prostorih za dejavnosti otrok vrtca, morajo imeti na strani, kjer so nameščeni tečaji, zaščito pred poškodbo prstov.</t>
  </si>
  <si>
    <t xml:space="preserve">Vse mere oken in vrat uskladiti s tipskimi dimenzijami izbranega proizvajalca. </t>
  </si>
  <si>
    <t>V cenu vrat, v prostorih za dejavnosti otrok vrtca - večnamenski prostor, vračunati zaščito pred poškodbo prstov. Zaščita je predvidena na strani, kjer so nameščeni tečaji.</t>
  </si>
  <si>
    <t>Vse na mestu betonirane konstrukcije morajo imeti predpisano zaščitno plast do armature - po načrtih projektantov konstrukterjev in po zahtevah v požarnem elaboratu! Armatura mora biti očiščena rje in masti.</t>
  </si>
  <si>
    <t xml:space="preserve">Kompletna dobava, izdelava in montaža horizontalne žlote (kanalete) ob atiki, širine cca 30 cm, iz ALU pločevine, vključno s podkonstrukcijo in zaščitnimi rešetkami za preprečevanje vdora grobe umazanije. Odvod vode iz žlote se preko cevi izvede do točkovnih požiralnikov. V ceno je vključena dobava in vgradnja vsega potrebnega materiala ter izvedba vseh del za funkcionalno in kakovostno izvedbo sistema odvodnjavanja ravne strehe (horizontalni in vertikalni razvodi, požiralniki, preboji, tesnjenja) ter priključitev na meteorno kanalizacijo.
</t>
  </si>
  <si>
    <t>- Varnostni prelivi:
Dobava in montaža varnostnih prelivov Ø min. 50 mm,  dolžine cca 60–70 cm, izvedeni skozi atično konstrukcijo, vključno s preboji in vodotesno izvedbo tesnjenja. Preboji se izvedejo min. 5 cm nad nivojem osnovnega odvodnjavanja.</t>
  </si>
  <si>
    <t>Komplet dobava in montaža vertikalnih odtočnih cevi fi  110 mm iz pocinkane plastificirane pločevine z vsemi preddeli, objemkami, fazonskimi kosi in ostalimi pomožnimi deli.  Vertikalne cevi meteornega odvodnjavanja so vodene v sloju toplotne izolacije fasade in so dodatno toplotno izolirane in mehansko pritrjene na nosilno konstrukcijo.</t>
  </si>
  <si>
    <t>- Točkovni požiralniki z odvodom skozi atiko:
Dobava in montaža točkovnih požiralnikov Ø 125 mm (horizontalni) vključno z zaščitnimi mrežnimi pokrovi proti vdoru umazanije ter povezovalnimi cevmi Ø 125 mm skozi atiko do vertikal odvodnjavanja, vključno s preboji in tesnjenjem. Strešni požiralniki so sistemski. Stik s hidroizolacijo mora biti izveden vodotesno.</t>
  </si>
  <si>
    <t xml:space="preserve">- Sistem odvodnjavanja v času izvedbe popisa del še ni natančno definiran, zato so količine v popisu ocenjene. Končno izvedbo uskladiti skladno z navodili projektanta. V ceno zajeti vsa potrebna  in druga pomožna dela.   </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</si>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</sst>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0&quot; SIT&quot;"/>
    <numFmt numFmtId="166" formatCode="#,##0.00;[Red]#,##0.00"/>
    <numFmt numFmtId="167" formatCode="_-* #,##0.00\ _€_-;\-* #,##0.00\ _€_-;_-* \-??\ _€_-;_-@_-"/>
    <numFmt numFmtId="168" formatCode="_-* #,##0.00\ &quot;€&quot;_-;\-* #,##0.00\ &quot;€&quot;_-;_-* &quot;-&quot;\ &quot;€&quot;_-;_-@_-"/>
    <numFmt numFmtId="169" formatCode="0.0"/>
    <numFmt numFmtId="170" formatCode="#,##0.00\ &quot;€&quot;"/>
  </numFmts>
  <fonts count="46" x14ac:knownFonts="1">
    <font>
      <sz val="11"/>
      <name val="Arial CE"/>
      <family val="2"/>
      <charset val="238"/>
    </font>
    <font>
      <sz val="11"/>
      <color theme="1"/>
      <name val="Calibri"/>
      <family val="2"/>
      <charset val="238"/>
      <scheme val="minor"/>
    </font>
    <font>
      <sz val="10"/>
      <name val="Arial CE"/>
      <family val="2"/>
      <charset val="238"/>
    </font>
    <font>
      <sz val="10"/>
      <name val="Arial"/>
      <family val="2"/>
      <charset val="238"/>
    </font>
    <font>
      <b/>
      <sz val="12"/>
      <name val="Arial CE"/>
      <family val="2"/>
      <charset val="238"/>
    </font>
    <font>
      <sz val="10"/>
      <color indexed="8"/>
      <name val="Tahoma"/>
      <family val="2"/>
      <charset val="238"/>
    </font>
    <font>
      <sz val="10"/>
      <name val="Tahoma"/>
      <family val="2"/>
      <charset val="238"/>
    </font>
    <font>
      <sz val="16"/>
      <name val="Arial CE"/>
      <family val="2"/>
      <charset val="238"/>
    </font>
    <font>
      <vertAlign val="superscript"/>
      <sz val="10"/>
      <name val="Arial CE"/>
      <family val="2"/>
      <charset val="238"/>
    </font>
    <font>
      <sz val="10"/>
      <color indexed="10"/>
      <name val="Arial CE"/>
      <family val="2"/>
      <charset val="238"/>
    </font>
    <font>
      <b/>
      <sz val="11"/>
      <name val="Arial CE"/>
      <family val="2"/>
      <charset val="238"/>
    </font>
    <font>
      <sz val="10"/>
      <color indexed="8"/>
      <name val="Arial CE"/>
      <family val="2"/>
      <charset val="238"/>
    </font>
    <font>
      <vertAlign val="superscript"/>
      <sz val="10"/>
      <color indexed="8"/>
      <name val="Arial CE"/>
      <family val="2"/>
      <charset val="238"/>
    </font>
    <font>
      <b/>
      <sz val="10"/>
      <name val="Arial CE"/>
      <family val="2"/>
      <charset val="238"/>
    </font>
    <font>
      <sz val="10"/>
      <name val="Arial"/>
      <family val="2"/>
      <charset val="1"/>
    </font>
    <font>
      <sz val="10"/>
      <color indexed="8"/>
      <name val="Arial"/>
      <family val="2"/>
      <charset val="238"/>
    </font>
    <font>
      <b/>
      <sz val="14"/>
      <color indexed="8"/>
      <name val="Arial CE"/>
      <family val="2"/>
      <charset val="238"/>
    </font>
    <font>
      <b/>
      <sz val="14"/>
      <name val="Arial CE"/>
      <family val="2"/>
      <charset val="238"/>
    </font>
    <font>
      <sz val="11"/>
      <color indexed="54"/>
      <name val="Arial CE"/>
      <family val="2"/>
      <charset val="238"/>
    </font>
    <font>
      <sz val="8"/>
      <name val="Arial CE"/>
      <family val="2"/>
      <charset val="238"/>
    </font>
    <font>
      <b/>
      <sz val="8"/>
      <name val="Arial CE"/>
      <family val="2"/>
      <charset val="238"/>
    </font>
    <font>
      <b/>
      <i/>
      <sz val="12"/>
      <name val="Arial CE"/>
      <family val="2"/>
      <charset val="238"/>
    </font>
    <font>
      <b/>
      <u/>
      <sz val="14"/>
      <name val="Arial CE"/>
      <family val="2"/>
      <charset val="238"/>
    </font>
    <font>
      <sz val="12"/>
      <name val="Arial CE"/>
      <family val="2"/>
      <charset val="238"/>
    </font>
    <font>
      <b/>
      <i/>
      <sz val="14"/>
      <name val="Arial CE"/>
      <family val="2"/>
      <charset val="238"/>
    </font>
    <font>
      <b/>
      <i/>
      <sz val="10"/>
      <name val="Arial CE"/>
      <family val="2"/>
      <charset val="238"/>
    </font>
    <font>
      <sz val="10"/>
      <color indexed="10"/>
      <name val="Arial CE"/>
      <charset val="238"/>
    </font>
    <font>
      <sz val="10"/>
      <name val="Arial CE"/>
      <charset val="238"/>
    </font>
    <font>
      <sz val="11"/>
      <name val="Arial CE"/>
      <charset val="238"/>
    </font>
    <font>
      <sz val="11"/>
      <name val="Arial"/>
      <family val="2"/>
      <charset val="238"/>
    </font>
    <font>
      <sz val="12"/>
      <name val="Calibri"/>
      <family val="2"/>
      <charset val="238"/>
    </font>
    <font>
      <sz val="10"/>
      <name val="Arial Narrow"/>
      <family val="2"/>
      <charset val="238"/>
    </font>
    <font>
      <vertAlign val="superscript"/>
      <sz val="10"/>
      <name val="Arial Narrow"/>
      <family val="2"/>
      <charset val="238"/>
    </font>
    <font>
      <b/>
      <sz val="11"/>
      <name val="Arial Narrow"/>
      <family val="2"/>
      <charset val="238"/>
    </font>
    <font>
      <sz val="11"/>
      <name val="Arial Narrow"/>
      <family val="2"/>
      <charset val="238"/>
    </font>
    <font>
      <b/>
      <sz val="11"/>
      <name val="Arial CE"/>
      <charset val="238"/>
    </font>
    <font>
      <b/>
      <sz val="10"/>
      <name val="Arial CE"/>
      <charset val="238"/>
    </font>
    <font>
      <b/>
      <sz val="10"/>
      <color indexed="8"/>
      <name val="Tahoma"/>
      <family val="2"/>
      <charset val="238"/>
    </font>
    <font>
      <sz val="10"/>
      <color rgb="FFFF0000"/>
      <name val="Arial CE"/>
      <family val="2"/>
      <charset val="238"/>
    </font>
    <font>
      <sz val="11"/>
      <color rgb="FFFF0000"/>
      <name val="Arial"/>
      <family val="2"/>
      <charset val="238"/>
    </font>
    <font>
      <sz val="11"/>
      <color rgb="FFFF0000"/>
      <name val="Arial CE"/>
      <family val="2"/>
      <charset val="238"/>
    </font>
    <font>
      <sz val="10"/>
      <color rgb="FFFF0000"/>
      <name val="Arial Narrow"/>
      <family val="2"/>
      <charset val="238"/>
    </font>
    <font>
      <sz val="11"/>
      <name val="Arial CE"/>
      <family val="2"/>
      <charset val="238"/>
    </font>
    <font>
      <vertAlign val="superscript"/>
      <sz val="10"/>
      <name val="Arial CE"/>
      <charset val="238"/>
    </font>
    <font>
      <b/>
      <sz val="10"/>
      <name val="Arial Narrow"/>
      <family val="2"/>
      <charset val="238"/>
    </font>
    <font>
      <sz val="10"/>
      <color theme="0" tint="-0.34998626667073579"/>
      <name val="Arial CE"/>
      <family val="2"/>
      <charset val="238"/>
    </font>
  </fonts>
  <fills count="4">
    <fill>
      <patternFill patternType="none"/>
    </fill>
    <fill>
      <patternFill patternType="gray125"/>
    </fill>
    <fill>
      <patternFill patternType="solid">
        <fgColor indexed="13"/>
        <bgColor indexed="34"/>
      </patternFill>
    </fill>
    <fill>
      <patternFill patternType="solid">
        <fgColor rgb="FFFFFF00"/>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hair">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style="medium">
        <color indexed="64"/>
      </left>
      <right style="medium">
        <color indexed="64"/>
      </right>
      <top style="medium">
        <color indexed="64"/>
      </top>
      <bottom style="medium">
        <color indexed="64"/>
      </bottom>
      <diagonal/>
    </border>
    <border>
      <left style="hair">
        <color indexed="8"/>
      </left>
      <right style="thin">
        <color indexed="64"/>
      </right>
      <top style="thin">
        <color indexed="8"/>
      </top>
      <bottom style="thin">
        <color indexed="64"/>
      </bottom>
      <diagonal/>
    </border>
  </borders>
  <cellStyleXfs count="7">
    <xf numFmtId="0" fontId="0" fillId="0" borderId="0"/>
    <xf numFmtId="0" fontId="2" fillId="0" borderId="0"/>
    <xf numFmtId="0" fontId="2" fillId="0" borderId="0"/>
    <xf numFmtId="0" fontId="3" fillId="0" borderId="0"/>
    <xf numFmtId="0" fontId="27" fillId="0" borderId="0"/>
    <xf numFmtId="0" fontId="1" fillId="0" borderId="0"/>
    <xf numFmtId="164" fontId="42" fillId="0" borderId="0" applyFont="0" applyFill="0" applyBorder="0" applyAlignment="0" applyProtection="0"/>
  </cellStyleXfs>
  <cellXfs count="342">
    <xf numFmtId="0" fontId="0" fillId="0" borderId="0" xfId="0"/>
    <xf numFmtId="0" fontId="2" fillId="0" borderId="0" xfId="0" applyFont="1" applyAlignment="1">
      <alignment horizontal="center" vertical="top"/>
    </xf>
    <xf numFmtId="0" fontId="2" fillId="0" borderId="0" xfId="0" applyFont="1"/>
    <xf numFmtId="0" fontId="2" fillId="0" borderId="0" xfId="0" applyFont="1" applyAlignment="1">
      <alignment horizontal="right"/>
    </xf>
    <xf numFmtId="4" fontId="2" fillId="0" borderId="0" xfId="0" applyNumberFormat="1" applyFont="1"/>
    <xf numFmtId="165" fontId="2" fillId="0" borderId="0" xfId="0" applyNumberFormat="1" applyFont="1"/>
    <xf numFmtId="0" fontId="4" fillId="0" borderId="0" xfId="0" applyFont="1" applyAlignment="1">
      <alignment horizontal="center"/>
    </xf>
    <xf numFmtId="0" fontId="4" fillId="0" borderId="0" xfId="0" applyFont="1"/>
    <xf numFmtId="49" fontId="6" fillId="0" borderId="1" xfId="1" applyNumberFormat="1" applyFont="1" applyBorder="1" applyAlignment="1">
      <alignment horizontal="center" vertical="top" wrapText="1"/>
    </xf>
    <xf numFmtId="49" fontId="6" fillId="0" borderId="1" xfId="1" applyNumberFormat="1" applyFont="1" applyBorder="1" applyAlignment="1">
      <alignment horizontal="center" vertical="center" wrapText="1"/>
    </xf>
    <xf numFmtId="49" fontId="2" fillId="0" borderId="0" xfId="0" applyNumberFormat="1" applyFont="1" applyAlignment="1">
      <alignment horizontal="center" vertical="top"/>
    </xf>
    <xf numFmtId="0" fontId="4" fillId="0" borderId="3" xfId="0" applyFont="1" applyBorder="1" applyAlignment="1">
      <alignment horizontal="right"/>
    </xf>
    <xf numFmtId="4" fontId="4" fillId="0" borderId="3" xfId="0" applyNumberFormat="1" applyFont="1" applyBorder="1"/>
    <xf numFmtId="0" fontId="4" fillId="0" borderId="3" xfId="0" applyFont="1" applyBorder="1"/>
    <xf numFmtId="0" fontId="4" fillId="0" borderId="0" xfId="0" applyFont="1" applyAlignment="1">
      <alignment horizontal="center" vertical="top"/>
    </xf>
    <xf numFmtId="0" fontId="4" fillId="0" borderId="0" xfId="0" applyFont="1" applyAlignment="1">
      <alignment wrapText="1"/>
    </xf>
    <xf numFmtId="4" fontId="5" fillId="0" borderId="1" xfId="1" applyNumberFormat="1" applyFont="1" applyBorder="1" applyAlignment="1">
      <alignment horizontal="center" vertical="center"/>
    </xf>
    <xf numFmtId="0" fontId="3" fillId="0" borderId="0" xfId="0" applyFont="1" applyAlignment="1">
      <alignment horizontal="justify" vertical="top" wrapText="1"/>
    </xf>
    <xf numFmtId="0" fontId="11" fillId="0" borderId="0" xfId="0" applyFont="1" applyAlignment="1">
      <alignment horizontal="right"/>
    </xf>
    <xf numFmtId="49" fontId="11" fillId="0" borderId="0" xfId="0" applyNumberFormat="1" applyFont="1" applyAlignment="1">
      <alignment horizontal="center" vertical="top"/>
    </xf>
    <xf numFmtId="4" fontId="11" fillId="0" borderId="0" xfId="0" applyNumberFormat="1" applyFont="1"/>
    <xf numFmtId="0" fontId="2" fillId="0" borderId="0" xfId="0" applyFont="1" applyAlignment="1">
      <alignment horizontal="left"/>
    </xf>
    <xf numFmtId="0" fontId="2" fillId="0" borderId="4" xfId="0" applyFont="1" applyBorder="1" applyAlignment="1">
      <alignment horizontal="right"/>
    </xf>
    <xf numFmtId="4" fontId="2" fillId="0" borderId="4" xfId="0" applyNumberFormat="1" applyFont="1" applyBorder="1"/>
    <xf numFmtId="165" fontId="13" fillId="0" borderId="0" xfId="0" applyNumberFormat="1" applyFont="1"/>
    <xf numFmtId="0" fontId="13" fillId="0" borderId="0" xfId="0" applyFont="1"/>
    <xf numFmtId="0" fontId="14" fillId="0" borderId="0" xfId="0" applyFont="1" applyAlignment="1">
      <alignment horizontal="justify" vertical="top" wrapText="1"/>
    </xf>
    <xf numFmtId="0" fontId="11" fillId="0" borderId="0" xfId="0" applyFont="1" applyAlignment="1">
      <alignment horizontal="center" vertical="top"/>
    </xf>
    <xf numFmtId="0" fontId="17" fillId="0" borderId="0" xfId="0" applyFont="1" applyAlignment="1">
      <alignment wrapText="1"/>
    </xf>
    <xf numFmtId="4" fontId="3" fillId="0" borderId="0" xfId="2" applyNumberFormat="1" applyFont="1" applyProtection="1">
      <protection locked="0"/>
    </xf>
    <xf numFmtId="4" fontId="5" fillId="0" borderId="1" xfId="1" applyNumberFormat="1" applyFont="1" applyBorder="1" applyAlignment="1">
      <alignment horizontal="center" vertical="center" wrapText="1"/>
    </xf>
    <xf numFmtId="0" fontId="2" fillId="0" borderId="0" xfId="0" applyFont="1" applyAlignment="1">
      <alignment horizontal="right" wrapText="1"/>
    </xf>
    <xf numFmtId="0" fontId="13" fillId="0" borderId="0" xfId="0" applyFont="1" applyAlignment="1">
      <alignment horizontal="right"/>
    </xf>
    <xf numFmtId="4" fontId="13" fillId="0" borderId="0" xfId="0" applyNumberFormat="1" applyFont="1"/>
    <xf numFmtId="0" fontId="11" fillId="0" borderId="0" xfId="0" applyFont="1" applyAlignment="1">
      <alignment horizontal="right" wrapText="1"/>
    </xf>
    <xf numFmtId="0" fontId="11" fillId="0" borderId="0" xfId="0" applyFont="1" applyAlignment="1">
      <alignment horizontal="left" vertical="top" wrapText="1"/>
    </xf>
    <xf numFmtId="0" fontId="2" fillId="0" borderId="4" xfId="0" applyFont="1" applyBorder="1" applyAlignment="1">
      <alignment horizontal="justify" wrapText="1"/>
    </xf>
    <xf numFmtId="0" fontId="2" fillId="0" borderId="0" xfId="0" applyFont="1" applyAlignment="1">
      <alignment horizontal="center"/>
    </xf>
    <xf numFmtId="4" fontId="2" fillId="0" borderId="0" xfId="0" applyNumberFormat="1" applyFont="1" applyAlignment="1">
      <alignment horizontal="center"/>
    </xf>
    <xf numFmtId="165" fontId="2" fillId="0" borderId="0" xfId="0" applyNumberFormat="1" applyFont="1" applyAlignment="1">
      <alignment horizontal="center"/>
    </xf>
    <xf numFmtId="167" fontId="2" fillId="0" borderId="0" xfId="0" applyNumberFormat="1" applyFont="1" applyAlignment="1">
      <alignment horizontal="right"/>
    </xf>
    <xf numFmtId="4" fontId="2" fillId="0" borderId="0" xfId="0" applyNumberFormat="1" applyFont="1" applyProtection="1">
      <protection locked="0"/>
    </xf>
    <xf numFmtId="0" fontId="2" fillId="0" borderId="0" xfId="0" applyFont="1" applyAlignment="1">
      <alignment horizontal="justify"/>
    </xf>
    <xf numFmtId="0" fontId="7" fillId="0" borderId="0" xfId="0" applyFont="1" applyAlignment="1">
      <alignment horizontal="justify"/>
    </xf>
    <xf numFmtId="0" fontId="22" fillId="0" borderId="0" xfId="0" applyFont="1"/>
    <xf numFmtId="1" fontId="17" fillId="0" borderId="0" xfId="0" applyNumberFormat="1" applyFont="1" applyAlignment="1">
      <alignment horizontal="right"/>
    </xf>
    <xf numFmtId="1" fontId="17" fillId="0" borderId="0" xfId="0" applyNumberFormat="1" applyFont="1"/>
    <xf numFmtId="0" fontId="17" fillId="0" borderId="0" xfId="0" applyFont="1"/>
    <xf numFmtId="0" fontId="17" fillId="2" borderId="2" xfId="0" applyFont="1" applyFill="1" applyBorder="1" applyAlignment="1">
      <alignment wrapText="1"/>
    </xf>
    <xf numFmtId="0" fontId="2" fillId="2" borderId="3" xfId="0" applyFont="1" applyFill="1" applyBorder="1" applyAlignment="1">
      <alignment horizontal="right"/>
    </xf>
    <xf numFmtId="0" fontId="2" fillId="2" borderId="3" xfId="0" applyFont="1" applyFill="1" applyBorder="1" applyAlignment="1">
      <alignment horizontal="left"/>
    </xf>
    <xf numFmtId="4" fontId="2" fillId="2" borderId="3" xfId="0" applyNumberFormat="1" applyFont="1" applyFill="1" applyBorder="1"/>
    <xf numFmtId="0" fontId="2" fillId="2" borderId="3" xfId="0" applyFont="1" applyFill="1" applyBorder="1"/>
    <xf numFmtId="165" fontId="24" fillId="0" borderId="0" xfId="0" applyNumberFormat="1" applyFont="1"/>
    <xf numFmtId="0" fontId="25" fillId="0" borderId="0" xfId="0" applyFont="1"/>
    <xf numFmtId="4" fontId="38" fillId="0" borderId="0" xfId="0" applyNumberFormat="1" applyFont="1"/>
    <xf numFmtId="2" fontId="0" fillId="0" borderId="0" xfId="0" applyNumberFormat="1"/>
    <xf numFmtId="0" fontId="27" fillId="0" borderId="0" xfId="0" applyFont="1" applyAlignment="1">
      <alignment horizontal="justify" vertical="top" wrapText="1"/>
    </xf>
    <xf numFmtId="165" fontId="2" fillId="0" borderId="7" xfId="0" applyNumberFormat="1" applyFont="1" applyBorder="1"/>
    <xf numFmtId="1" fontId="2" fillId="0" borderId="0" xfId="0" applyNumberFormat="1" applyFont="1" applyAlignment="1">
      <alignment horizontal="right"/>
    </xf>
    <xf numFmtId="168" fontId="23" fillId="0" borderId="4" xfId="0" applyNumberFormat="1" applyFont="1" applyBorder="1"/>
    <xf numFmtId="168" fontId="23" fillId="3" borderId="4" xfId="0" applyNumberFormat="1" applyFont="1" applyFill="1" applyBorder="1"/>
    <xf numFmtId="0" fontId="0" fillId="0" borderId="0" xfId="0" applyAlignment="1">
      <alignment horizontal="center"/>
    </xf>
    <xf numFmtId="0" fontId="0" fillId="0" borderId="7" xfId="0" applyBorder="1" applyAlignment="1">
      <alignment horizontal="center"/>
    </xf>
    <xf numFmtId="0" fontId="0" fillId="0" borderId="7" xfId="0" applyBorder="1"/>
    <xf numFmtId="0" fontId="4" fillId="0" borderId="3" xfId="0" applyFont="1" applyBorder="1" applyAlignment="1">
      <alignment horizontal="left"/>
    </xf>
    <xf numFmtId="49" fontId="6" fillId="0" borderId="0" xfId="1" applyNumberFormat="1" applyFont="1" applyAlignment="1">
      <alignment horizontal="center" vertical="top" wrapText="1"/>
    </xf>
    <xf numFmtId="49" fontId="6" fillId="0" borderId="0" xfId="1" applyNumberFormat="1" applyFont="1" applyAlignment="1">
      <alignment horizontal="center" vertical="center" wrapText="1"/>
    </xf>
    <xf numFmtId="0" fontId="0" fillId="0" borderId="0" xfId="0" applyAlignment="1">
      <alignment horizontal="center" vertical="center"/>
    </xf>
    <xf numFmtId="4" fontId="5" fillId="0" borderId="0" xfId="1" applyNumberFormat="1" applyFont="1" applyAlignment="1">
      <alignment horizontal="center" vertical="center"/>
    </xf>
    <xf numFmtId="4" fontId="5" fillId="0" borderId="0" xfId="1" applyNumberFormat="1" applyFont="1" applyAlignment="1">
      <alignment horizontal="center" vertical="center" wrapText="1"/>
    </xf>
    <xf numFmtId="9" fontId="2" fillId="0" borderId="0" xfId="0" applyNumberFormat="1" applyFont="1"/>
    <xf numFmtId="4" fontId="4" fillId="0" borderId="10" xfId="0" applyNumberFormat="1" applyFont="1" applyBorder="1"/>
    <xf numFmtId="4" fontId="10" fillId="0" borderId="15" xfId="0" applyNumberFormat="1" applyFont="1" applyBorder="1"/>
    <xf numFmtId="0" fontId="4" fillId="0" borderId="11" xfId="0" applyFont="1" applyBorder="1" applyAlignment="1">
      <alignment horizontal="justify" wrapText="1"/>
    </xf>
    <xf numFmtId="4" fontId="27" fillId="0" borderId="0" xfId="0" applyNumberFormat="1" applyFont="1"/>
    <xf numFmtId="2" fontId="2" fillId="0" borderId="0" xfId="0" applyNumberFormat="1" applyFont="1"/>
    <xf numFmtId="49" fontId="6" fillId="0" borderId="2" xfId="1" applyNumberFormat="1" applyFont="1" applyBorder="1" applyAlignment="1">
      <alignment horizontal="center" vertical="center" wrapText="1"/>
    </xf>
    <xf numFmtId="4" fontId="5" fillId="0" borderId="10" xfId="1" applyNumberFormat="1" applyFont="1" applyBorder="1" applyAlignment="1">
      <alignment horizontal="center" vertical="center"/>
    </xf>
    <xf numFmtId="0" fontId="4" fillId="0" borderId="3" xfId="0" applyFont="1" applyBorder="1" applyAlignment="1">
      <alignment wrapText="1"/>
    </xf>
    <xf numFmtId="49" fontId="2" fillId="0" borderId="19" xfId="0" applyNumberFormat="1" applyFont="1" applyBorder="1" applyAlignment="1">
      <alignment horizontal="center" vertical="top"/>
    </xf>
    <xf numFmtId="0" fontId="29" fillId="0" borderId="0" xfId="0" applyFont="1"/>
    <xf numFmtId="0" fontId="39" fillId="0" borderId="0" xfId="0" applyFont="1"/>
    <xf numFmtId="0" fontId="29" fillId="0" borderId="0" xfId="0" applyFont="1" applyAlignment="1">
      <alignment horizontal="center"/>
    </xf>
    <xf numFmtId="2" fontId="29" fillId="0" borderId="0" xfId="0" applyNumberFormat="1" applyFont="1"/>
    <xf numFmtId="0" fontId="2" fillId="0" borderId="6" xfId="0" applyFont="1" applyBorder="1" applyAlignment="1">
      <alignment horizontal="justify" vertical="center" wrapText="1"/>
    </xf>
    <xf numFmtId="49" fontId="29" fillId="0" borderId="0" xfId="0" applyNumberFormat="1" applyFont="1" applyAlignment="1">
      <alignment horizontal="center" vertical="top"/>
    </xf>
    <xf numFmtId="49" fontId="0" fillId="0" borderId="0" xfId="0" applyNumberFormat="1"/>
    <xf numFmtId="0" fontId="29" fillId="0" borderId="0" xfId="0" applyFont="1" applyAlignment="1">
      <alignment horizontal="justify" vertical="top" wrapText="1"/>
    </xf>
    <xf numFmtId="0" fontId="28" fillId="0" borderId="0" xfId="0" applyFont="1" applyAlignment="1">
      <alignment horizontal="justify" vertical="top" wrapText="1"/>
    </xf>
    <xf numFmtId="0" fontId="33" fillId="0" borderId="0" xfId="0" applyFont="1" applyAlignment="1">
      <alignment horizontal="left" vertical="top"/>
    </xf>
    <xf numFmtId="0" fontId="34" fillId="0" borderId="0" xfId="0" applyFont="1" applyAlignment="1">
      <alignment horizontal="left" vertical="top"/>
    </xf>
    <xf numFmtId="0" fontId="31" fillId="0" borderId="0" xfId="0" applyFont="1" applyAlignment="1">
      <alignment horizontal="center" wrapText="1"/>
    </xf>
    <xf numFmtId="49" fontId="3" fillId="0" borderId="0" xfId="0" applyNumberFormat="1" applyFont="1" applyAlignment="1">
      <alignment horizontal="justify" vertical="top" wrapText="1"/>
    </xf>
    <xf numFmtId="49" fontId="3" fillId="0" borderId="0" xfId="0" applyNumberFormat="1" applyFont="1" applyAlignment="1">
      <alignment horizontal="center" vertical="top"/>
    </xf>
    <xf numFmtId="0" fontId="27" fillId="0" borderId="0" xfId="0" applyFont="1" applyAlignment="1">
      <alignment horizontal="justify" wrapText="1"/>
    </xf>
    <xf numFmtId="0" fontId="38" fillId="0" borderId="0" xfId="0" applyFont="1" applyAlignment="1">
      <alignment horizontal="center"/>
    </xf>
    <xf numFmtId="165" fontId="38" fillId="0" borderId="0" xfId="0" applyNumberFormat="1" applyFont="1"/>
    <xf numFmtId="49" fontId="40" fillId="0" borderId="0" xfId="0" applyNumberFormat="1" applyFont="1"/>
    <xf numFmtId="49" fontId="29" fillId="0" borderId="0" xfId="0" applyNumberFormat="1" applyFont="1"/>
    <xf numFmtId="49" fontId="11" fillId="0" borderId="0" xfId="0" applyNumberFormat="1" applyFont="1" applyAlignment="1">
      <alignment horizontal="left" vertical="top" wrapText="1"/>
    </xf>
    <xf numFmtId="49" fontId="29" fillId="0" borderId="0" xfId="0" applyNumberFormat="1" applyFont="1" applyAlignment="1">
      <alignment horizontal="center"/>
    </xf>
    <xf numFmtId="49" fontId="27" fillId="0" borderId="0" xfId="0" applyNumberFormat="1" applyFont="1" applyAlignment="1">
      <alignment horizontal="justify" vertical="top" wrapText="1"/>
    </xf>
    <xf numFmtId="49" fontId="27" fillId="0" borderId="0" xfId="0" applyNumberFormat="1" applyFont="1" applyAlignment="1">
      <alignment horizontal="center"/>
    </xf>
    <xf numFmtId="0" fontId="31" fillId="0" borderId="0" xfId="0" applyFont="1" applyAlignment="1">
      <alignment horizontal="center"/>
    </xf>
    <xf numFmtId="170" fontId="31" fillId="0" borderId="0" xfId="4" applyNumberFormat="1" applyFont="1" applyAlignment="1" applyProtection="1">
      <alignment horizontal="center"/>
      <protection locked="0"/>
    </xf>
    <xf numFmtId="4" fontId="0" fillId="0" borderId="0" xfId="0" applyNumberFormat="1"/>
    <xf numFmtId="170" fontId="31" fillId="0" borderId="0" xfId="6" applyNumberFormat="1" applyFont="1" applyBorder="1" applyAlignment="1" applyProtection="1">
      <alignment horizontal="right"/>
    </xf>
    <xf numFmtId="4" fontId="35" fillId="0" borderId="16" xfId="0" applyNumberFormat="1" applyFont="1" applyBorder="1"/>
    <xf numFmtId="4" fontId="15" fillId="0" borderId="1" xfId="1" applyNumberFormat="1" applyFont="1" applyBorder="1" applyAlignment="1">
      <alignment horizontal="center" vertical="top" wrapText="1"/>
    </xf>
    <xf numFmtId="0" fontId="2" fillId="0" borderId="6" xfId="0" applyFont="1" applyBorder="1" applyAlignment="1">
      <alignment horizontal="center" vertical="center" wrapText="1"/>
    </xf>
    <xf numFmtId="4" fontId="2" fillId="0" borderId="0" xfId="0" applyNumberFormat="1" applyFont="1" applyAlignment="1">
      <alignment horizontal="left" vertical="top" wrapText="1"/>
    </xf>
    <xf numFmtId="0" fontId="2" fillId="0" borderId="0" xfId="0" applyFont="1" applyAlignment="1">
      <alignment horizontal="justify" vertical="top" wrapText="1"/>
    </xf>
    <xf numFmtId="49" fontId="2" fillId="0" borderId="0" xfId="0" applyNumberFormat="1" applyFont="1" applyAlignment="1">
      <alignment horizontal="justify" vertical="top" wrapText="1"/>
    </xf>
    <xf numFmtId="0" fontId="2" fillId="0" borderId="0" xfId="0" applyFont="1" applyAlignment="1">
      <alignment horizontal="justify" vertical="center" wrapText="1"/>
    </xf>
    <xf numFmtId="0" fontId="2" fillId="0" borderId="0" xfId="0" applyFont="1" applyAlignment="1">
      <alignment vertical="top" wrapText="1"/>
    </xf>
    <xf numFmtId="49" fontId="2" fillId="0" borderId="0" xfId="0" applyNumberFormat="1" applyFont="1" applyAlignment="1">
      <alignment horizontal="left" vertical="top" wrapText="1"/>
    </xf>
    <xf numFmtId="0" fontId="4" fillId="0" borderId="2" xfId="0" applyFont="1" applyBorder="1" applyAlignment="1">
      <alignment wrapText="1"/>
    </xf>
    <xf numFmtId="0" fontId="2" fillId="0" borderId="0" xfId="0" applyFont="1" applyAlignment="1">
      <alignment horizontal="justify" wrapText="1"/>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wrapText="1"/>
    </xf>
    <xf numFmtId="0" fontId="2" fillId="0" borderId="0" xfId="0" applyFont="1" applyAlignment="1">
      <alignment horizontal="justify" vertical="top" wrapText="1"/>
    </xf>
    <xf numFmtId="49" fontId="2" fillId="0" borderId="0" xfId="0" applyNumberFormat="1" applyFont="1" applyAlignment="1">
      <alignment horizontal="justify" vertical="top" wrapText="1"/>
    </xf>
    <xf numFmtId="49" fontId="0" fillId="0" borderId="0" xfId="0" applyNumberFormat="1" applyAlignment="1">
      <alignment horizontal="justify" vertical="top" wrapText="1"/>
    </xf>
    <xf numFmtId="0" fontId="0" fillId="0" borderId="0" xfId="0" applyAlignment="1">
      <alignment wrapText="1"/>
    </xf>
    <xf numFmtId="0" fontId="2" fillId="0" borderId="0" xfId="0" applyFont="1" applyAlignment="1">
      <alignment vertical="top" wrapText="1"/>
    </xf>
    <xf numFmtId="0" fontId="36" fillId="0" borderId="0" xfId="0" applyFont="1" applyAlignment="1">
      <alignment horizontal="left" vertical="top" wrapText="1"/>
    </xf>
    <xf numFmtId="0" fontId="13" fillId="0" borderId="0" xfId="0" applyFont="1" applyAlignment="1">
      <alignment vertical="center" wrapText="1"/>
    </xf>
    <xf numFmtId="0" fontId="2" fillId="0" borderId="0" xfId="0" applyFont="1" applyAlignment="1">
      <alignment vertical="center" wrapText="1"/>
    </xf>
    <xf numFmtId="49" fontId="36" fillId="0" borderId="0" xfId="0" applyNumberFormat="1" applyFont="1" applyAlignment="1">
      <alignment horizontal="justify" vertical="top" wrapText="1"/>
    </xf>
    <xf numFmtId="0" fontId="35" fillId="0" borderId="0" xfId="0" applyFont="1" applyAlignment="1">
      <alignment horizontal="justify" vertical="top" wrapText="1"/>
    </xf>
    <xf numFmtId="0" fontId="2" fillId="0" borderId="0" xfId="0" applyFont="1" applyAlignment="1">
      <alignment wrapText="1"/>
    </xf>
    <xf numFmtId="0" fontId="34" fillId="0" borderId="0" xfId="0" applyFont="1" applyAlignment="1">
      <alignment horizontal="justify" vertical="top" wrapText="1"/>
    </xf>
    <xf numFmtId="0" fontId="3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pplyProtection="1">
      <alignment horizontal="center"/>
    </xf>
    <xf numFmtId="0" fontId="4" fillId="0" borderId="0" xfId="0" applyFont="1" applyProtection="1"/>
    <xf numFmtId="0" fontId="2" fillId="0" borderId="0" xfId="0" applyFont="1" applyAlignment="1" applyProtection="1">
      <alignment horizontal="right"/>
    </xf>
    <xf numFmtId="4" fontId="2" fillId="0" borderId="0" xfId="0" applyNumberFormat="1" applyFont="1" applyProtection="1"/>
    <xf numFmtId="165" fontId="2" fillId="0" borderId="0" xfId="0" applyNumberFormat="1" applyFont="1" applyProtection="1"/>
    <xf numFmtId="0" fontId="2" fillId="0" borderId="0" xfId="0" applyFont="1" applyProtection="1"/>
    <xf numFmtId="1" fontId="2" fillId="0" borderId="0" xfId="0" applyNumberFormat="1" applyFont="1" applyAlignment="1" applyProtection="1">
      <alignment vertical="top" wrapText="1"/>
    </xf>
    <xf numFmtId="2" fontId="37" fillId="0" borderId="0" xfId="1" applyNumberFormat="1" applyFont="1" applyAlignment="1" applyProtection="1">
      <alignment vertical="top" wrapText="1"/>
    </xf>
    <xf numFmtId="0" fontId="2" fillId="0" borderId="0" xfId="0" applyFont="1" applyAlignment="1" applyProtection="1">
      <alignment horizontal="justify" vertical="top" wrapText="1"/>
    </xf>
    <xf numFmtId="49" fontId="2" fillId="0" borderId="0" xfId="0" applyNumberFormat="1" applyFont="1" applyAlignment="1" applyProtection="1">
      <alignment horizontal="justify" vertical="top" wrapText="1"/>
    </xf>
    <xf numFmtId="49" fontId="0" fillId="0" borderId="0" xfId="0" applyNumberFormat="1" applyAlignment="1" applyProtection="1">
      <alignment horizontal="justify" vertical="top" wrapText="1"/>
    </xf>
    <xf numFmtId="0" fontId="38" fillId="0" borderId="0" xfId="0" applyFont="1" applyProtection="1"/>
    <xf numFmtId="0" fontId="2" fillId="0" borderId="0" xfId="0" applyFont="1" applyAlignment="1" applyProtection="1">
      <alignment horizontal="justify" wrapText="1"/>
    </xf>
    <xf numFmtId="49" fontId="6" fillId="0" borderId="1" xfId="1" applyNumberFormat="1" applyFont="1" applyBorder="1" applyAlignment="1" applyProtection="1">
      <alignment horizontal="center" vertical="top" wrapText="1"/>
    </xf>
    <xf numFmtId="49" fontId="6" fillId="0" borderId="1" xfId="1" applyNumberFormat="1" applyFont="1" applyBorder="1" applyAlignment="1" applyProtection="1">
      <alignment horizontal="center" vertical="center" wrapText="1"/>
    </xf>
    <xf numFmtId="4" fontId="5" fillId="0" borderId="1" xfId="1" applyNumberFormat="1" applyFont="1" applyBorder="1" applyAlignment="1" applyProtection="1">
      <alignment horizontal="center" vertical="top"/>
    </xf>
    <xf numFmtId="4" fontId="5" fillId="0" borderId="1" xfId="1" applyNumberFormat="1" applyFont="1" applyBorder="1" applyAlignment="1" applyProtection="1">
      <alignment horizontal="center" vertical="top" wrapText="1"/>
    </xf>
    <xf numFmtId="4" fontId="6" fillId="0" borderId="1" xfId="1" applyNumberFormat="1" applyFont="1" applyBorder="1" applyAlignment="1" applyProtection="1">
      <alignment horizontal="center" vertical="top" wrapText="1"/>
    </xf>
    <xf numFmtId="49" fontId="2" fillId="0" borderId="0" xfId="0" applyNumberFormat="1" applyFont="1" applyAlignment="1" applyProtection="1">
      <alignment horizontal="center" vertical="top"/>
    </xf>
    <xf numFmtId="0" fontId="7" fillId="0" borderId="0" xfId="0" applyFont="1" applyAlignment="1" applyProtection="1">
      <alignment vertical="top" wrapText="1"/>
    </xf>
    <xf numFmtId="0" fontId="7" fillId="0" borderId="0" xfId="0" applyFont="1" applyAlignment="1" applyProtection="1">
      <alignment horizontal="right"/>
    </xf>
    <xf numFmtId="4" fontId="7" fillId="0" borderId="0" xfId="0" applyNumberFormat="1" applyFont="1" applyProtection="1"/>
    <xf numFmtId="0" fontId="0" fillId="0" borderId="0" xfId="0" applyProtection="1"/>
    <xf numFmtId="0" fontId="2" fillId="0" borderId="0" xfId="0" applyFont="1" applyAlignment="1" applyProtection="1">
      <alignment horizontal="justify" vertical="top" wrapText="1"/>
    </xf>
    <xf numFmtId="49" fontId="0" fillId="0" borderId="0" xfId="0" applyNumberFormat="1" applyAlignment="1" applyProtection="1">
      <alignment vertical="top" wrapText="1"/>
    </xf>
    <xf numFmtId="0" fontId="7" fillId="0" borderId="0" xfId="0" applyFont="1" applyAlignment="1" applyProtection="1">
      <alignment wrapText="1"/>
    </xf>
    <xf numFmtId="49" fontId="2" fillId="0" borderId="0" xfId="0" applyNumberFormat="1" applyFont="1" applyAlignment="1" applyProtection="1">
      <alignment horizontal="justify" vertical="top" wrapText="1"/>
    </xf>
    <xf numFmtId="0" fontId="7" fillId="0" borderId="0" xfId="0" applyFont="1" applyAlignment="1" applyProtection="1">
      <alignment vertical="center" wrapText="1"/>
    </xf>
    <xf numFmtId="49" fontId="9" fillId="0" borderId="0" xfId="0" applyNumberFormat="1" applyFont="1" applyAlignment="1" applyProtection="1">
      <alignment horizontal="center" vertical="top"/>
    </xf>
    <xf numFmtId="0" fontId="9" fillId="0" borderId="0" xfId="0" applyFont="1" applyAlignment="1" applyProtection="1">
      <alignment vertical="top" wrapText="1"/>
    </xf>
    <xf numFmtId="0" fontId="9" fillId="0" borderId="0" xfId="0" applyFont="1" applyAlignment="1" applyProtection="1">
      <alignment horizontal="right"/>
    </xf>
    <xf numFmtId="4" fontId="9" fillId="0" borderId="0" xfId="0" applyNumberFormat="1" applyFont="1" applyProtection="1"/>
    <xf numFmtId="0" fontId="4" fillId="0" borderId="11" xfId="0" applyFont="1" applyBorder="1" applyAlignment="1" applyProtection="1">
      <alignment wrapText="1"/>
    </xf>
    <xf numFmtId="0" fontId="4" fillId="0" borderId="3" xfId="0" applyFont="1" applyBorder="1" applyAlignment="1" applyProtection="1">
      <alignment horizontal="right"/>
    </xf>
    <xf numFmtId="4" fontId="4" fillId="0" borderId="3" xfId="0" applyNumberFormat="1" applyFont="1" applyBorder="1" applyProtection="1"/>
    <xf numFmtId="0" fontId="4" fillId="0" borderId="3" xfId="0" applyFont="1" applyBorder="1" applyProtection="1"/>
    <xf numFmtId="4" fontId="10" fillId="0" borderId="6" xfId="0" applyNumberFormat="1" applyFont="1" applyBorder="1" applyProtection="1"/>
    <xf numFmtId="49" fontId="27" fillId="0" borderId="0" xfId="0" applyNumberFormat="1" applyFont="1" applyAlignment="1" applyProtection="1">
      <alignment vertical="top" wrapText="1"/>
    </xf>
    <xf numFmtId="49" fontId="28" fillId="0" borderId="0" xfId="0" applyNumberFormat="1" applyFont="1" applyAlignment="1" applyProtection="1">
      <alignment vertical="top" wrapText="1"/>
    </xf>
    <xf numFmtId="0" fontId="4" fillId="0" borderId="0" xfId="0" applyFont="1" applyAlignment="1" applyProtection="1">
      <alignment horizontal="center" vertical="top"/>
    </xf>
    <xf numFmtId="0" fontId="4" fillId="0" borderId="0" xfId="0" applyFont="1" applyAlignment="1" applyProtection="1">
      <alignment wrapText="1"/>
    </xf>
    <xf numFmtId="0" fontId="4" fillId="0" borderId="0" xfId="0" applyFont="1" applyAlignment="1" applyProtection="1">
      <alignment horizontal="right"/>
    </xf>
    <xf numFmtId="4" fontId="4" fillId="0" borderId="0" xfId="0" applyNumberFormat="1" applyFont="1" applyProtection="1"/>
    <xf numFmtId="165" fontId="4" fillId="0" borderId="0" xfId="0" applyNumberFormat="1" applyFont="1" applyAlignment="1" applyProtection="1">
      <alignment horizontal="right"/>
    </xf>
    <xf numFmtId="0" fontId="2" fillId="0" borderId="0" xfId="0" applyFont="1" applyAlignment="1" applyProtection="1">
      <alignment horizontal="center" vertical="top"/>
    </xf>
    <xf numFmtId="2" fontId="2" fillId="0" borderId="0" xfId="0" applyNumberFormat="1" applyFont="1" applyProtection="1">
      <protection locked="0"/>
    </xf>
    <xf numFmtId="1" fontId="36" fillId="0" borderId="0" xfId="0" applyNumberFormat="1" applyFont="1" applyAlignment="1" applyProtection="1">
      <alignment horizontal="justify" wrapText="1"/>
    </xf>
    <xf numFmtId="1" fontId="2" fillId="0" borderId="0" xfId="0" applyNumberFormat="1" applyFont="1" applyAlignment="1" applyProtection="1">
      <alignment horizontal="justify" wrapText="1"/>
    </xf>
    <xf numFmtId="1" fontId="2" fillId="0" borderId="0" xfId="0" applyNumberFormat="1" applyFont="1" applyAlignment="1" applyProtection="1">
      <alignment horizontal="left" wrapText="1"/>
    </xf>
    <xf numFmtId="1" fontId="2" fillId="0" borderId="0" xfId="0" applyNumberFormat="1" applyFont="1" applyAlignment="1" applyProtection="1">
      <alignment horizontal="justify" wrapText="1"/>
    </xf>
    <xf numFmtId="4" fontId="5" fillId="0" borderId="2" xfId="1" applyNumberFormat="1" applyFont="1" applyBorder="1" applyAlignment="1" applyProtection="1">
      <alignment horizontal="center" vertical="center"/>
    </xf>
    <xf numFmtId="0" fontId="0" fillId="0" borderId="10" xfId="0" applyBorder="1" applyAlignment="1" applyProtection="1">
      <alignment horizontal="center" vertical="center"/>
    </xf>
    <xf numFmtId="4" fontId="5" fillId="0" borderId="1" xfId="1" applyNumberFormat="1" applyFont="1" applyBorder="1" applyAlignment="1" applyProtection="1">
      <alignment horizontal="center" vertical="center"/>
    </xf>
    <xf numFmtId="49" fontId="6" fillId="0" borderId="0" xfId="1" applyNumberFormat="1" applyFont="1" applyAlignment="1" applyProtection="1">
      <alignment horizontal="center" vertical="top" wrapText="1"/>
    </xf>
    <xf numFmtId="49" fontId="6" fillId="0" borderId="0" xfId="1" applyNumberFormat="1" applyFont="1" applyAlignment="1" applyProtection="1">
      <alignment horizontal="center" vertical="center" wrapText="1"/>
    </xf>
    <xf numFmtId="4" fontId="5" fillId="0" borderId="0" xfId="1" applyNumberFormat="1" applyFont="1" applyAlignment="1" applyProtection="1">
      <alignment horizontal="center" vertical="center"/>
    </xf>
    <xf numFmtId="0" fontId="0" fillId="0" borderId="0" xfId="0" applyAlignment="1" applyProtection="1">
      <alignment horizontal="center" vertical="center"/>
    </xf>
    <xf numFmtId="4" fontId="6" fillId="0" borderId="0" xfId="1" applyNumberFormat="1" applyFont="1" applyAlignment="1" applyProtection="1">
      <alignment horizontal="center" vertical="top" wrapText="1"/>
    </xf>
    <xf numFmtId="0" fontId="2" fillId="0" borderId="0" xfId="0" applyFont="1" applyAlignment="1" applyProtection="1">
      <alignment vertical="top" wrapText="1"/>
    </xf>
    <xf numFmtId="0" fontId="2" fillId="0" borderId="0" xfId="0" applyFont="1" applyAlignment="1" applyProtection="1">
      <alignment wrapText="1"/>
    </xf>
    <xf numFmtId="4" fontId="38" fillId="0" borderId="0" xfId="0" applyNumberFormat="1" applyFont="1" applyProtection="1"/>
    <xf numFmtId="49" fontId="2" fillId="0" borderId="0" xfId="0" applyNumberFormat="1" applyFont="1" applyAlignment="1" applyProtection="1">
      <alignment horizontal="left" wrapText="1"/>
    </xf>
    <xf numFmtId="2" fontId="2" fillId="0" borderId="0" xfId="0" applyNumberFormat="1" applyFont="1" applyProtection="1"/>
    <xf numFmtId="40" fontId="2" fillId="0" borderId="0" xfId="0" applyNumberFormat="1" applyFont="1" applyProtection="1"/>
    <xf numFmtId="49" fontId="2" fillId="0" borderId="0" xfId="0" applyNumberFormat="1" applyFont="1" applyAlignment="1" applyProtection="1">
      <alignment horizontal="left" vertical="top" wrapText="1"/>
    </xf>
    <xf numFmtId="2" fontId="2" fillId="0" borderId="0" xfId="0" applyNumberFormat="1" applyFont="1" applyAlignment="1" applyProtection="1">
      <alignment horizontal="right" wrapText="1"/>
    </xf>
    <xf numFmtId="49" fontId="2" fillId="0" borderId="0" xfId="0" applyNumberFormat="1" applyFont="1" applyAlignment="1" applyProtection="1">
      <alignment horizontal="justify" vertical="center" wrapText="1"/>
    </xf>
    <xf numFmtId="0" fontId="2" fillId="0" borderId="0" xfId="0" applyFont="1" applyAlignment="1" applyProtection="1">
      <alignment horizontal="justify" vertical="center" wrapText="1"/>
    </xf>
    <xf numFmtId="49" fontId="27" fillId="0" borderId="0" xfId="0" applyNumberFormat="1" applyFont="1" applyAlignment="1" applyProtection="1">
      <alignment horizontal="center" vertical="top"/>
    </xf>
    <xf numFmtId="49" fontId="27" fillId="0" borderId="0" xfId="0" applyNumberFormat="1" applyFont="1" applyAlignment="1" applyProtection="1">
      <alignment horizontal="justify" vertical="center" wrapText="1"/>
    </xf>
    <xf numFmtId="0" fontId="38" fillId="0" borderId="0" xfId="0" applyFont="1" applyAlignment="1" applyProtection="1">
      <alignment horizontal="justify" vertical="center" wrapText="1"/>
    </xf>
    <xf numFmtId="0" fontId="41" fillId="0" borderId="0" xfId="0" applyFont="1" applyAlignment="1" applyProtection="1">
      <alignment horizontal="center" wrapText="1"/>
    </xf>
    <xf numFmtId="2" fontId="38" fillId="0" borderId="0" xfId="0" applyNumberFormat="1" applyFont="1" applyProtection="1"/>
    <xf numFmtId="0" fontId="2" fillId="0" borderId="7" xfId="0" applyFont="1" applyBorder="1" applyAlignment="1" applyProtection="1">
      <alignment horizontal="justify" vertical="center" wrapText="1"/>
    </xf>
    <xf numFmtId="0" fontId="2" fillId="0" borderId="7" xfId="0" applyFont="1" applyBorder="1" applyAlignment="1" applyProtection="1">
      <alignment horizontal="right"/>
    </xf>
    <xf numFmtId="4" fontId="2" fillId="0" borderId="7" xfId="0" applyNumberFormat="1" applyFont="1" applyBorder="1" applyProtection="1"/>
    <xf numFmtId="49" fontId="6" fillId="0" borderId="12" xfId="1" applyNumberFormat="1" applyFont="1" applyBorder="1" applyAlignment="1" applyProtection="1">
      <alignment horizontal="center" vertical="top" wrapText="1"/>
    </xf>
    <xf numFmtId="0" fontId="4" fillId="0" borderId="6" xfId="0" applyFont="1" applyBorder="1" applyAlignment="1" applyProtection="1">
      <alignment wrapText="1"/>
    </xf>
    <xf numFmtId="0" fontId="4" fillId="0" borderId="7" xfId="0" applyFont="1" applyBorder="1" applyAlignment="1" applyProtection="1">
      <alignment wrapText="1"/>
    </xf>
    <xf numFmtId="0" fontId="4" fillId="0" borderId="7" xfId="0" applyFont="1" applyBorder="1" applyAlignment="1" applyProtection="1">
      <alignment horizontal="right"/>
    </xf>
    <xf numFmtId="4" fontId="4" fillId="0" borderId="7" xfId="0" applyNumberFormat="1" applyFont="1" applyBorder="1" applyProtection="1"/>
    <xf numFmtId="4" fontId="4" fillId="0" borderId="11" xfId="0" applyNumberFormat="1" applyFont="1" applyBorder="1" applyAlignment="1" applyProtection="1">
      <alignment wrapText="1"/>
    </xf>
    <xf numFmtId="1" fontId="2" fillId="0" borderId="0" xfId="0" applyNumberFormat="1" applyFont="1" applyAlignment="1" applyProtection="1">
      <alignment horizontal="left" wrapText="1"/>
    </xf>
    <xf numFmtId="49" fontId="2" fillId="0" borderId="0" xfId="0" applyNumberFormat="1" applyFont="1" applyAlignment="1" applyProtection="1">
      <alignment horizontal="left" vertical="top" wrapText="1"/>
    </xf>
    <xf numFmtId="49" fontId="0" fillId="0" borderId="0" xfId="0" applyNumberFormat="1" applyAlignment="1" applyProtection="1">
      <alignment horizontal="left" vertical="top" wrapText="1"/>
    </xf>
    <xf numFmtId="0" fontId="2" fillId="0" borderId="0" xfId="0" applyFont="1" applyAlignment="1" applyProtection="1">
      <alignment vertical="top" wrapText="1"/>
    </xf>
    <xf numFmtId="0" fontId="0" fillId="0" borderId="0" xfId="0" applyAlignment="1" applyProtection="1">
      <alignment wrapText="1"/>
    </xf>
    <xf numFmtId="0" fontId="2" fillId="0" borderId="0" xfId="0" applyFont="1" applyAlignment="1" applyProtection="1">
      <alignment horizontal="justify" vertical="center" wrapText="1"/>
    </xf>
    <xf numFmtId="0" fontId="36" fillId="0" borderId="0" xfId="0" applyFont="1" applyAlignment="1" applyProtection="1">
      <alignment vertical="top" wrapText="1"/>
    </xf>
    <xf numFmtId="49" fontId="2" fillId="0" borderId="0" xfId="0" applyNumberFormat="1" applyFont="1" applyAlignment="1" applyProtection="1">
      <alignment vertical="top" wrapText="1"/>
    </xf>
    <xf numFmtId="2" fontId="2" fillId="0" borderId="0" xfId="0" applyNumberFormat="1" applyFont="1" applyAlignment="1" applyProtection="1">
      <alignment horizontal="justify" wrapText="1"/>
    </xf>
    <xf numFmtId="2" fontId="0" fillId="0" borderId="0" xfId="0" applyNumberFormat="1" applyProtection="1"/>
    <xf numFmtId="2" fontId="40" fillId="0" borderId="0" xfId="0" applyNumberFormat="1" applyFont="1" applyProtection="1"/>
    <xf numFmtId="4" fontId="2" fillId="0" borderId="0" xfId="0" applyNumberFormat="1" applyFont="1" applyAlignment="1" applyProtection="1">
      <alignment vertical="top" wrapText="1"/>
    </xf>
    <xf numFmtId="0" fontId="38" fillId="0" borderId="0" xfId="0" applyFont="1" applyAlignment="1" applyProtection="1">
      <alignment vertical="top" wrapText="1"/>
    </xf>
    <xf numFmtId="4" fontId="38" fillId="0" borderId="0" xfId="0" applyNumberFormat="1" applyFont="1" applyAlignment="1" applyProtection="1">
      <alignment vertical="top" wrapText="1"/>
    </xf>
    <xf numFmtId="2" fontId="2" fillId="0" borderId="0" xfId="0" applyNumberFormat="1" applyFont="1" applyAlignment="1" applyProtection="1">
      <alignment horizontal="justify" vertical="center" wrapText="1"/>
    </xf>
    <xf numFmtId="2" fontId="2" fillId="0" borderId="0" xfId="0" applyNumberFormat="1" applyFont="1" applyAlignment="1" applyProtection="1">
      <alignment wrapText="1"/>
    </xf>
    <xf numFmtId="4" fontId="38" fillId="0" borderId="0" xfId="0" applyNumberFormat="1" applyFont="1" applyAlignment="1" applyProtection="1">
      <alignment wrapText="1"/>
    </xf>
    <xf numFmtId="0" fontId="11" fillId="0" borderId="0" xfId="0" applyFont="1" applyAlignment="1" applyProtection="1">
      <alignment horizontal="right"/>
    </xf>
    <xf numFmtId="169" fontId="0" fillId="0" borderId="0" xfId="0" applyNumberFormat="1" applyProtection="1"/>
    <xf numFmtId="2" fontId="38" fillId="0" borderId="0" xfId="0" applyNumberFormat="1" applyFont="1" applyAlignment="1" applyProtection="1">
      <alignment wrapText="1"/>
    </xf>
    <xf numFmtId="49" fontId="2" fillId="0" borderId="0" xfId="0" applyNumberFormat="1" applyFont="1" applyAlignment="1" applyProtection="1">
      <alignment wrapText="1"/>
    </xf>
    <xf numFmtId="49" fontId="11" fillId="0" borderId="0" xfId="0" applyNumberFormat="1" applyFont="1" applyAlignment="1" applyProtection="1">
      <alignment horizontal="center" vertical="top"/>
    </xf>
    <xf numFmtId="0" fontId="11" fillId="0" borderId="0" xfId="0" applyFont="1" applyAlignment="1" applyProtection="1">
      <alignment horizontal="justify" vertical="top" wrapText="1"/>
    </xf>
    <xf numFmtId="4" fontId="11" fillId="0" borderId="0" xfId="0" applyNumberFormat="1" applyFont="1" applyProtection="1"/>
    <xf numFmtId="49" fontId="45" fillId="0" borderId="0" xfId="0" applyNumberFormat="1" applyFont="1" applyAlignment="1" applyProtection="1">
      <alignment horizontal="justify" vertical="top" wrapText="1"/>
    </xf>
    <xf numFmtId="0" fontId="2" fillId="0" borderId="0" xfId="0" applyFont="1" applyAlignment="1" applyProtection="1">
      <alignment horizontal="left"/>
    </xf>
    <xf numFmtId="4" fontId="45" fillId="0" borderId="0" xfId="0" applyNumberFormat="1" applyFont="1" applyAlignment="1" applyProtection="1">
      <alignment wrapText="1"/>
    </xf>
    <xf numFmtId="0" fontId="11" fillId="0" borderId="0" xfId="0" applyFont="1" applyAlignment="1" applyProtection="1">
      <alignment vertical="top" wrapText="1"/>
    </xf>
    <xf numFmtId="2" fontId="11" fillId="0" borderId="0" xfId="0" applyNumberFormat="1" applyFont="1" applyAlignment="1" applyProtection="1">
      <alignment horizontal="right" wrapText="1"/>
    </xf>
    <xf numFmtId="49" fontId="11" fillId="0" borderId="0" xfId="0" applyNumberFormat="1" applyFont="1" applyAlignment="1" applyProtection="1">
      <alignment vertical="center" wrapText="1"/>
    </xf>
    <xf numFmtId="0" fontId="2" fillId="0" borderId="4" xfId="0" applyFont="1" applyBorder="1" applyAlignment="1" applyProtection="1">
      <alignment wrapText="1"/>
    </xf>
    <xf numFmtId="0" fontId="2" fillId="0" borderId="4" xfId="0" applyFont="1" applyBorder="1" applyAlignment="1" applyProtection="1">
      <alignment horizontal="right"/>
    </xf>
    <xf numFmtId="4" fontId="2" fillId="0" borderId="4" xfId="0" applyNumberFormat="1" applyFont="1" applyBorder="1" applyProtection="1"/>
    <xf numFmtId="165" fontId="13" fillId="0" borderId="0" xfId="0" applyNumberFormat="1" applyFont="1" applyProtection="1"/>
    <xf numFmtId="0" fontId="4" fillId="0" borderId="13" xfId="0" applyFont="1" applyBorder="1" applyProtection="1"/>
    <xf numFmtId="2" fontId="0" fillId="0" borderId="0" xfId="0" applyNumberFormat="1" applyProtection="1">
      <protection locked="0"/>
    </xf>
    <xf numFmtId="0" fontId="36" fillId="0" borderId="0" xfId="0" applyFont="1" applyAlignment="1" applyProtection="1">
      <alignment horizontal="justify" vertical="top" wrapText="1"/>
    </xf>
    <xf numFmtId="49" fontId="3" fillId="0" borderId="1" xfId="1" applyNumberFormat="1" applyFont="1" applyBorder="1" applyAlignment="1" applyProtection="1">
      <alignment horizontal="center" vertical="top" wrapText="1"/>
    </xf>
    <xf numFmtId="49" fontId="3" fillId="0" borderId="1" xfId="1" applyNumberFormat="1" applyFont="1" applyBorder="1" applyAlignment="1" applyProtection="1">
      <alignment horizontal="center" vertical="center" wrapText="1"/>
    </xf>
    <xf numFmtId="4" fontId="15" fillId="0" borderId="2" xfId="1" applyNumberFormat="1" applyFont="1" applyBorder="1" applyAlignment="1" applyProtection="1">
      <alignment horizontal="center" vertical="center"/>
    </xf>
    <xf numFmtId="0" fontId="29" fillId="0" borderId="10" xfId="0" applyFont="1" applyBorder="1" applyAlignment="1" applyProtection="1">
      <alignment horizontal="center" vertical="center"/>
    </xf>
    <xf numFmtId="4" fontId="15" fillId="0" borderId="1" xfId="1" applyNumberFormat="1" applyFont="1" applyBorder="1" applyAlignment="1" applyProtection="1">
      <alignment horizontal="center" vertical="center"/>
    </xf>
    <xf numFmtId="4" fontId="15" fillId="0" borderId="1" xfId="1" applyNumberFormat="1" applyFont="1" applyBorder="1" applyAlignment="1" applyProtection="1">
      <alignment horizontal="center" vertical="top" wrapText="1"/>
    </xf>
    <xf numFmtId="0" fontId="0" fillId="0" borderId="0" xfId="0" applyAlignment="1" applyProtection="1">
      <alignment horizontal="right" vertical="center"/>
    </xf>
    <xf numFmtId="166" fontId="3" fillId="0" borderId="0" xfId="0" applyNumberFormat="1" applyFont="1" applyProtection="1"/>
    <xf numFmtId="0" fontId="27" fillId="0" borderId="0" xfId="0" applyFont="1" applyAlignment="1" applyProtection="1">
      <alignment horizontal="justify" vertical="top" wrapText="1"/>
    </xf>
    <xf numFmtId="170" fontId="31" fillId="0" borderId="0" xfId="6" applyNumberFormat="1" applyFont="1" applyBorder="1" applyAlignment="1" applyProtection="1">
      <alignment horizontal="center"/>
    </xf>
    <xf numFmtId="0" fontId="4" fillId="0" borderId="2" xfId="0" applyFont="1" applyBorder="1" applyAlignment="1" applyProtection="1">
      <alignment vertical="top" wrapText="1"/>
    </xf>
    <xf numFmtId="4" fontId="4" fillId="0" borderId="13" xfId="0" applyNumberFormat="1" applyFont="1" applyBorder="1" applyProtection="1"/>
    <xf numFmtId="0" fontId="36" fillId="0" borderId="0" xfId="0" applyFont="1" applyAlignment="1" applyProtection="1">
      <alignment horizontal="left" vertical="top" wrapText="1"/>
    </xf>
    <xf numFmtId="0" fontId="3" fillId="0" borderId="0" xfId="0" applyFont="1" applyAlignment="1" applyProtection="1">
      <alignment horizontal="justify" vertical="top" wrapText="1"/>
    </xf>
    <xf numFmtId="0" fontId="3" fillId="0" borderId="0" xfId="0" applyFont="1" applyAlignment="1" applyProtection="1">
      <alignment vertical="top" wrapText="1"/>
    </xf>
    <xf numFmtId="166" fontId="3" fillId="0" borderId="0" xfId="0" applyNumberFormat="1" applyFont="1" applyAlignment="1" applyProtection="1">
      <alignment vertical="center"/>
    </xf>
    <xf numFmtId="49" fontId="3" fillId="0" borderId="0" xfId="0" applyNumberFormat="1" applyFont="1" applyAlignment="1" applyProtection="1">
      <alignment vertical="top" wrapText="1"/>
    </xf>
    <xf numFmtId="2" fontId="0" fillId="0" borderId="7" xfId="0" applyNumberFormat="1" applyBorder="1" applyProtection="1"/>
    <xf numFmtId="0" fontId="4" fillId="0" borderId="2" xfId="0" applyFont="1" applyBorder="1" applyAlignment="1" applyProtection="1">
      <alignment wrapText="1"/>
    </xf>
    <xf numFmtId="0" fontId="4" fillId="0" borderId="11" xfId="0" applyFont="1" applyBorder="1" applyAlignment="1" applyProtection="1">
      <alignment wrapText="1"/>
    </xf>
    <xf numFmtId="2" fontId="0" fillId="0" borderId="8" xfId="0" applyNumberFormat="1" applyBorder="1" applyProtection="1"/>
    <xf numFmtId="0" fontId="2" fillId="0" borderId="0" xfId="0" applyFont="1" applyAlignment="1" applyProtection="1">
      <alignment horizontal="left" vertical="top" wrapText="1"/>
    </xf>
    <xf numFmtId="0" fontId="13" fillId="0" borderId="0" xfId="0" applyFont="1" applyProtection="1"/>
    <xf numFmtId="0" fontId="36" fillId="0" borderId="0" xfId="0" applyFont="1" applyProtection="1"/>
    <xf numFmtId="0" fontId="2" fillId="0" borderId="0" xfId="0" applyFont="1" applyAlignment="1" applyProtection="1">
      <alignment horizontal="justify" wrapText="1"/>
    </xf>
    <xf numFmtId="49" fontId="15" fillId="0" borderId="0" xfId="0" applyNumberFormat="1" applyFont="1" applyAlignment="1" applyProtection="1">
      <alignment wrapText="1"/>
    </xf>
    <xf numFmtId="0" fontId="11" fillId="0" borderId="0" xfId="0" applyFont="1" applyAlignment="1" applyProtection="1">
      <alignment wrapText="1"/>
    </xf>
    <xf numFmtId="49" fontId="15" fillId="0" borderId="0" xfId="0" applyNumberFormat="1" applyFont="1" applyAlignment="1" applyProtection="1">
      <alignment vertical="top" wrapText="1"/>
    </xf>
    <xf numFmtId="49" fontId="11" fillId="0" borderId="0" xfId="0" applyNumberFormat="1" applyFont="1" applyAlignment="1" applyProtection="1">
      <alignment wrapText="1"/>
    </xf>
    <xf numFmtId="0" fontId="38" fillId="0" borderId="0" xfId="0" applyFont="1" applyAlignment="1" applyProtection="1">
      <alignment horizontal="right"/>
    </xf>
    <xf numFmtId="165" fontId="38" fillId="0" borderId="0" xfId="0" applyNumberFormat="1" applyFont="1" applyProtection="1"/>
    <xf numFmtId="49" fontId="38" fillId="0" borderId="0" xfId="0" applyNumberFormat="1" applyFont="1" applyAlignment="1" applyProtection="1">
      <alignment horizontal="center" vertical="top"/>
    </xf>
    <xf numFmtId="0" fontId="16" fillId="0" borderId="7" xfId="0" applyFont="1" applyBorder="1" applyAlignment="1" applyProtection="1">
      <alignment wrapText="1"/>
    </xf>
    <xf numFmtId="0" fontId="4" fillId="0" borderId="14" xfId="0" applyFont="1" applyBorder="1" applyAlignment="1" applyProtection="1">
      <alignment wrapText="1"/>
    </xf>
    <xf numFmtId="0" fontId="4" fillId="0" borderId="4" xfId="0" applyFont="1" applyBorder="1" applyAlignment="1" applyProtection="1">
      <alignment horizontal="right"/>
    </xf>
    <xf numFmtId="4" fontId="4" fillId="0" borderId="4" xfId="0" applyNumberFormat="1" applyFont="1" applyBorder="1" applyProtection="1"/>
    <xf numFmtId="0" fontId="4" fillId="0" borderId="17" xfId="0" applyFont="1" applyBorder="1" applyProtection="1"/>
    <xf numFmtId="4" fontId="10" fillId="0" borderId="16" xfId="0" applyNumberFormat="1" applyFont="1" applyBorder="1" applyProtection="1"/>
    <xf numFmtId="0" fontId="36" fillId="0" borderId="0" xfId="0" applyFont="1" applyAlignment="1" applyProtection="1">
      <alignment horizontal="justify" wrapText="1"/>
    </xf>
    <xf numFmtId="0" fontId="2" fillId="0" borderId="0" xfId="0" applyFont="1" applyAlignment="1" applyProtection="1">
      <alignment vertical="center" wrapText="1"/>
    </xf>
    <xf numFmtId="0" fontId="31" fillId="0" borderId="0" xfId="0" applyFont="1" applyAlignment="1" applyProtection="1">
      <alignment vertical="center" wrapText="1"/>
    </xf>
    <xf numFmtId="4" fontId="10" fillId="0" borderId="18" xfId="0" applyNumberFormat="1" applyFont="1" applyBorder="1" applyProtection="1"/>
    <xf numFmtId="0" fontId="17" fillId="0" borderId="0" xfId="0" applyFont="1" applyAlignment="1" applyProtection="1">
      <alignment wrapText="1"/>
    </xf>
    <xf numFmtId="165" fontId="17" fillId="0" borderId="0" xfId="0" applyNumberFormat="1" applyFont="1" applyAlignment="1" applyProtection="1">
      <alignment horizontal="right"/>
    </xf>
    <xf numFmtId="0" fontId="13" fillId="0" borderId="0" xfId="0" applyFont="1" applyAlignment="1" applyProtection="1">
      <alignment horizontal="justify" vertical="top" wrapText="1"/>
    </xf>
    <xf numFmtId="4" fontId="0" fillId="0" borderId="0" xfId="0" applyNumberFormat="1" applyProtection="1">
      <protection locked="0"/>
    </xf>
    <xf numFmtId="0" fontId="3" fillId="0" borderId="0" xfId="3" applyAlignment="1" applyProtection="1">
      <alignment horizontal="justify" vertical="top" wrapText="1"/>
    </xf>
    <xf numFmtId="0" fontId="3" fillId="0" borderId="0" xfId="3" applyAlignment="1" applyProtection="1">
      <alignment horizontal="center"/>
    </xf>
    <xf numFmtId="4" fontId="3" fillId="0" borderId="0" xfId="3" applyNumberFormat="1" applyProtection="1"/>
    <xf numFmtId="0" fontId="3" fillId="0" borderId="0" xfId="3" applyProtection="1"/>
    <xf numFmtId="4" fontId="3" fillId="0" borderId="0" xfId="1" applyNumberFormat="1" applyFont="1" applyAlignment="1" applyProtection="1">
      <alignment horizontal="right"/>
    </xf>
    <xf numFmtId="0" fontId="3" fillId="0" borderId="0" xfId="3" applyAlignment="1" applyProtection="1">
      <alignment horizontal="left" vertical="top" wrapText="1"/>
    </xf>
    <xf numFmtId="0" fontId="7" fillId="0" borderId="0" xfId="0" applyFont="1" applyAlignment="1" applyProtection="1">
      <alignment horizontal="center" vertical="top"/>
    </xf>
    <xf numFmtId="49" fontId="2" fillId="0" borderId="0" xfId="0" applyNumberFormat="1" applyFont="1" applyAlignment="1" applyProtection="1">
      <alignment horizontal="justify" wrapText="1"/>
    </xf>
    <xf numFmtId="4" fontId="3" fillId="0" borderId="0" xfId="1" applyNumberFormat="1" applyFont="1" applyProtection="1"/>
    <xf numFmtId="4" fontId="3" fillId="0" borderId="0" xfId="2" applyNumberFormat="1" applyFont="1" applyProtection="1"/>
    <xf numFmtId="0" fontId="3" fillId="0" borderId="0" xfId="1" applyFont="1" applyAlignment="1" applyProtection="1">
      <alignment horizontal="center"/>
    </xf>
    <xf numFmtId="165" fontId="2" fillId="0" borderId="7" xfId="0" applyNumberFormat="1" applyFont="1" applyBorder="1" applyProtection="1"/>
    <xf numFmtId="0" fontId="4" fillId="0" borderId="2" xfId="0" applyFont="1" applyBorder="1" applyAlignment="1" applyProtection="1">
      <alignment wrapText="1"/>
    </xf>
    <xf numFmtId="0" fontId="0" fillId="0" borderId="3" xfId="0" applyBorder="1" applyAlignment="1" applyProtection="1">
      <alignment wrapText="1"/>
    </xf>
    <xf numFmtId="0" fontId="0" fillId="0" borderId="13" xfId="0" applyBorder="1" applyAlignment="1" applyProtection="1">
      <alignment wrapText="1"/>
    </xf>
    <xf numFmtId="0" fontId="2" fillId="0" borderId="0" xfId="0" applyFont="1" applyAlignment="1" applyProtection="1">
      <alignment horizontal="left" vertical="top"/>
    </xf>
    <xf numFmtId="0" fontId="2" fillId="0" borderId="0" xfId="0" applyFont="1" applyAlignment="1" applyProtection="1">
      <alignment horizontal="left" vertical="top" wrapText="1"/>
    </xf>
    <xf numFmtId="1" fontId="2" fillId="0" borderId="0" xfId="0" applyNumberFormat="1" applyFont="1" applyAlignment="1" applyProtection="1">
      <alignment vertical="top" wrapText="1"/>
    </xf>
    <xf numFmtId="4" fontId="5" fillId="0" borderId="1" xfId="1" applyNumberFormat="1" applyFont="1" applyBorder="1" applyAlignment="1" applyProtection="1">
      <alignment horizontal="center" vertical="center" wrapText="1"/>
    </xf>
    <xf numFmtId="49" fontId="27" fillId="0" borderId="0" xfId="0" applyNumberFormat="1" applyFont="1" applyAlignment="1" applyProtection="1">
      <alignment horizontal="left" vertical="top" wrapText="1"/>
    </xf>
    <xf numFmtId="0" fontId="27" fillId="0" borderId="0" xfId="0" applyFont="1" applyAlignment="1" applyProtection="1">
      <alignment horizontal="right"/>
    </xf>
    <xf numFmtId="4" fontId="27" fillId="0" borderId="0" xfId="0" applyNumberFormat="1" applyFont="1" applyProtection="1"/>
    <xf numFmtId="0" fontId="18" fillId="0" borderId="0" xfId="0" applyFont="1" applyProtection="1"/>
    <xf numFmtId="0" fontId="4" fillId="0" borderId="2" xfId="0" applyFont="1" applyBorder="1" applyAlignment="1" applyProtection="1">
      <alignment horizontal="justify" wrapText="1"/>
    </xf>
    <xf numFmtId="0" fontId="19" fillId="0" borderId="0" xfId="0" applyFont="1" applyAlignment="1" applyProtection="1">
      <alignment horizontal="right"/>
    </xf>
    <xf numFmtId="4" fontId="19" fillId="0" borderId="0" xfId="0" applyNumberFormat="1" applyFont="1" applyProtection="1"/>
    <xf numFmtId="165" fontId="20" fillId="0" borderId="0" xfId="0" applyNumberFormat="1" applyFont="1" applyProtection="1"/>
    <xf numFmtId="0" fontId="2" fillId="0" borderId="0" xfId="0" applyFont="1" applyAlignment="1" applyProtection="1">
      <alignment vertical="center" wrapText="1"/>
    </xf>
    <xf numFmtId="1" fontId="4" fillId="0" borderId="0" xfId="0" applyNumberFormat="1" applyFont="1" applyAlignment="1" applyProtection="1">
      <alignment horizontal="center" vertical="top" wrapText="1"/>
    </xf>
    <xf numFmtId="0" fontId="0" fillId="0" borderId="5" xfId="0" applyBorder="1" applyAlignment="1" applyProtection="1">
      <alignment horizontal="center" vertical="center"/>
    </xf>
    <xf numFmtId="4" fontId="10" fillId="0" borderId="9" xfId="0" applyNumberFormat="1" applyFont="1" applyBorder="1" applyProtection="1"/>
    <xf numFmtId="0" fontId="21" fillId="0" borderId="0" xfId="0" applyFont="1" applyProtection="1"/>
    <xf numFmtId="0" fontId="2" fillId="0" borderId="6" xfId="0" applyFont="1" applyBorder="1" applyAlignment="1" applyProtection="1">
      <alignment horizontal="justify" vertical="center" wrapText="1"/>
    </xf>
    <xf numFmtId="0" fontId="30" fillId="0" borderId="0" xfId="0" applyFont="1" applyAlignment="1" applyProtection="1">
      <alignment vertical="center"/>
    </xf>
    <xf numFmtId="165" fontId="2" fillId="0" borderId="4" xfId="0" applyNumberFormat="1" applyFont="1" applyBorder="1" applyProtection="1"/>
    <xf numFmtId="0" fontId="4" fillId="0" borderId="3" xfId="0" applyFont="1" applyBorder="1" applyAlignment="1" applyProtection="1">
      <alignment wrapText="1"/>
    </xf>
    <xf numFmtId="4" fontId="10" fillId="0" borderId="20" xfId="0" applyNumberFormat="1" applyFont="1" applyBorder="1" applyProtection="1"/>
    <xf numFmtId="49" fontId="2" fillId="0" borderId="0" xfId="0" applyNumberFormat="1" applyFont="1" applyAlignment="1" applyProtection="1">
      <alignment wrapText="1"/>
    </xf>
    <xf numFmtId="0" fontId="0" fillId="0" borderId="0" xfId="0" applyAlignment="1" applyProtection="1">
      <alignment wrapText="1"/>
    </xf>
    <xf numFmtId="4" fontId="27" fillId="0" borderId="0" xfId="0" applyNumberFormat="1" applyFont="1" applyProtection="1">
      <protection locked="0"/>
    </xf>
  </cellXfs>
  <cellStyles count="7">
    <cellStyle name="Comma" xfId="6" builtinId="3"/>
    <cellStyle name="Navadno 2" xfId="1" xr:uid="{4ADDE777-0003-4A94-8546-3BC9CADA2DB1}"/>
    <cellStyle name="Navadno 2 2" xfId="5" xr:uid="{8AC19DF9-C2EA-46AB-8C17-7450A4FC57FA}"/>
    <cellStyle name="Navadno 2 69" xfId="4" xr:uid="{AFF002A5-C448-4AC6-9890-F6E2551BFE33}"/>
    <cellStyle name="Navadno_List2" xfId="2" xr:uid="{92EF9716-8080-4616-9643-EB974571A2FA}"/>
    <cellStyle name="Navadno_SBRadovljica 2" xfId="3" xr:uid="{BEFF0558-8828-432E-90FD-4B09CD38B7AD}"/>
    <cellStyle name="Normal" xfId="0" builtinId="0"/>
  </cellStyles>
  <dxfs count="2">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555555"/>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7724-E1FA-4CCF-A475-E78745CD6DA9}">
  <sheetPr codeName="List1"/>
  <dimension ref="A1:G37"/>
  <sheetViews>
    <sheetView tabSelected="1" zoomScale="93" zoomScaleNormal="93" workbookViewId="0">
      <selection activeCell="G9" sqref="G9"/>
    </sheetView>
  </sheetViews>
  <sheetFormatPr defaultRowHeight="12.75" x14ac:dyDescent="0.2"/>
  <cols>
    <col min="1" max="1" width="4.5" style="181" customWidth="1"/>
    <col min="2" max="2" width="35.125" style="142" customWidth="1"/>
    <col min="3" max="3" width="5" style="139" customWidth="1"/>
    <col min="4" max="4" width="6.75" style="140" customWidth="1"/>
    <col min="5" max="5" width="9.875" style="140" customWidth="1"/>
    <col min="6" max="6" width="8.875" style="141" customWidth="1"/>
    <col min="7" max="16384" width="9" style="142"/>
  </cols>
  <sheetData>
    <row r="1" spans="1:7" ht="15.75" x14ac:dyDescent="0.25">
      <c r="A1" s="137" t="s">
        <v>0</v>
      </c>
      <c r="B1" s="138" t="s">
        <v>1</v>
      </c>
    </row>
    <row r="2" spans="1:7" x14ac:dyDescent="0.2">
      <c r="A2" s="143"/>
      <c r="B2" s="143"/>
      <c r="C2" s="143"/>
      <c r="D2" s="143"/>
      <c r="E2" s="143"/>
      <c r="F2" s="143"/>
    </row>
    <row r="3" spans="1:7" x14ac:dyDescent="0.2">
      <c r="A3" s="143"/>
      <c r="B3" s="144" t="s">
        <v>16</v>
      </c>
      <c r="C3" s="143"/>
      <c r="D3" s="143"/>
      <c r="E3" s="143"/>
      <c r="F3" s="143"/>
    </row>
    <row r="4" spans="1:7" ht="54.75" customHeight="1" x14ac:dyDescent="0.2">
      <c r="A4" s="143"/>
      <c r="B4" s="145" t="s">
        <v>217</v>
      </c>
      <c r="C4" s="145"/>
      <c r="D4" s="145"/>
      <c r="E4" s="145"/>
      <c r="F4" s="145"/>
    </row>
    <row r="5" spans="1:7" ht="51.75" customHeight="1" x14ac:dyDescent="0.2">
      <c r="A5" s="143"/>
      <c r="B5" s="146" t="s">
        <v>215</v>
      </c>
      <c r="C5" s="147"/>
      <c r="D5" s="147"/>
      <c r="E5" s="147"/>
      <c r="F5" s="147"/>
      <c r="G5" s="148"/>
    </row>
    <row r="6" spans="1:7" x14ac:dyDescent="0.2">
      <c r="A6" s="143"/>
      <c r="B6" s="149"/>
      <c r="C6" s="143"/>
      <c r="D6" s="143"/>
      <c r="E6" s="143"/>
      <c r="F6" s="143"/>
    </row>
    <row r="7" spans="1:7" ht="25.5" x14ac:dyDescent="0.2">
      <c r="A7" s="150" t="s">
        <v>2</v>
      </c>
      <c r="B7" s="151" t="s">
        <v>3</v>
      </c>
      <c r="C7" s="150" t="s">
        <v>4</v>
      </c>
      <c r="D7" s="152" t="s">
        <v>5</v>
      </c>
      <c r="E7" s="153" t="s">
        <v>216</v>
      </c>
      <c r="F7" s="154" t="s">
        <v>6</v>
      </c>
    </row>
    <row r="8" spans="1:7" ht="14.25" customHeight="1" x14ac:dyDescent="0.3">
      <c r="A8" s="155"/>
      <c r="B8" s="156"/>
      <c r="C8" s="157"/>
      <c r="D8" s="158"/>
      <c r="E8" s="159"/>
      <c r="F8" s="140"/>
    </row>
    <row r="9" spans="1:7" ht="76.5" x14ac:dyDescent="0.2">
      <c r="A9" s="155" t="s">
        <v>7</v>
      </c>
      <c r="B9" s="160" t="s">
        <v>369</v>
      </c>
      <c r="F9" s="140"/>
    </row>
    <row r="10" spans="1:7" ht="72.75" customHeight="1" x14ac:dyDescent="0.2">
      <c r="A10" s="155"/>
      <c r="B10" s="161" t="s">
        <v>373</v>
      </c>
      <c r="C10" s="140" t="s">
        <v>371</v>
      </c>
      <c r="D10" s="140">
        <v>140</v>
      </c>
      <c r="E10" s="41"/>
      <c r="F10" s="140">
        <f>ROUND(D10*E10,2)</f>
        <v>0</v>
      </c>
    </row>
    <row r="11" spans="1:7" ht="71.25" customHeight="1" x14ac:dyDescent="0.2">
      <c r="A11" s="155"/>
      <c r="B11" s="161" t="s">
        <v>374</v>
      </c>
      <c r="C11" s="140" t="s">
        <v>372</v>
      </c>
      <c r="D11" s="140">
        <v>2</v>
      </c>
      <c r="E11" s="41"/>
      <c r="F11" s="140">
        <f>ROUND(D11*E11,2)</f>
        <v>0</v>
      </c>
    </row>
    <row r="12" spans="1:7" ht="72" customHeight="1" x14ac:dyDescent="0.2">
      <c r="A12" s="155"/>
      <c r="B12" s="161" t="s">
        <v>375</v>
      </c>
      <c r="C12" s="140" t="s">
        <v>81</v>
      </c>
      <c r="D12" s="140">
        <v>1</v>
      </c>
      <c r="E12" s="41"/>
      <c r="F12" s="140">
        <f>ROUND(D12*E12,2)</f>
        <v>0</v>
      </c>
    </row>
    <row r="13" spans="1:7" ht="16.5" customHeight="1" x14ac:dyDescent="0.3">
      <c r="A13" s="155"/>
      <c r="B13" s="162"/>
      <c r="C13" s="157"/>
      <c r="D13" s="158"/>
      <c r="F13" s="159"/>
    </row>
    <row r="14" spans="1:7" ht="90" customHeight="1" x14ac:dyDescent="0.2">
      <c r="A14" s="155" t="s">
        <v>9</v>
      </c>
      <c r="B14" s="160" t="s">
        <v>306</v>
      </c>
      <c r="F14" s="140"/>
    </row>
    <row r="15" spans="1:7" ht="27.75" customHeight="1" x14ac:dyDescent="0.2">
      <c r="A15" s="155"/>
      <c r="B15" s="163" t="s">
        <v>307</v>
      </c>
      <c r="C15" s="140" t="s">
        <v>81</v>
      </c>
      <c r="D15" s="140">
        <v>1</v>
      </c>
      <c r="E15" s="41"/>
      <c r="F15" s="140">
        <f>ROUND(D15*E15,2)</f>
        <v>0</v>
      </c>
    </row>
    <row r="16" spans="1:7" ht="53.25" customHeight="1" x14ac:dyDescent="0.2">
      <c r="A16" s="155"/>
      <c r="B16" s="163" t="s">
        <v>320</v>
      </c>
      <c r="C16" s="140" t="s">
        <v>11</v>
      </c>
      <c r="D16" s="140">
        <v>1</v>
      </c>
      <c r="E16" s="41"/>
      <c r="F16" s="140">
        <f>ROUND(D16*E16,2)</f>
        <v>0</v>
      </c>
    </row>
    <row r="17" spans="1:6" ht="16.5" customHeight="1" x14ac:dyDescent="0.2">
      <c r="A17" s="155"/>
      <c r="B17" s="163" t="s">
        <v>308</v>
      </c>
      <c r="C17" s="140" t="s">
        <v>84</v>
      </c>
      <c r="D17" s="140">
        <v>260</v>
      </c>
      <c r="E17" s="41"/>
      <c r="F17" s="140">
        <f>ROUND(D17*E17,2)</f>
        <v>0</v>
      </c>
    </row>
    <row r="18" spans="1:6" ht="17.25" customHeight="1" x14ac:dyDescent="0.3">
      <c r="A18" s="155"/>
      <c r="B18" s="164"/>
      <c r="C18" s="157"/>
      <c r="D18" s="158"/>
      <c r="F18" s="159"/>
    </row>
    <row r="19" spans="1:6" ht="54.75" customHeight="1" x14ac:dyDescent="0.2">
      <c r="A19" s="155" t="s">
        <v>10</v>
      </c>
      <c r="B19" s="163" t="s">
        <v>309</v>
      </c>
      <c r="C19" s="139" t="s">
        <v>81</v>
      </c>
      <c r="D19" s="140">
        <v>1</v>
      </c>
      <c r="E19" s="41"/>
      <c r="F19" s="140">
        <f>SUM(D19*E19)</f>
        <v>0</v>
      </c>
    </row>
    <row r="20" spans="1:6" ht="17.25" customHeight="1" x14ac:dyDescent="0.3">
      <c r="A20" s="155"/>
      <c r="B20" s="164"/>
      <c r="C20" s="157"/>
      <c r="D20" s="158"/>
      <c r="F20" s="159"/>
    </row>
    <row r="21" spans="1:6" ht="76.5" customHeight="1" x14ac:dyDescent="0.2">
      <c r="A21" s="155" t="s">
        <v>154</v>
      </c>
      <c r="B21" s="163" t="s">
        <v>378</v>
      </c>
    </row>
    <row r="22" spans="1:6" ht="16.5" customHeight="1" x14ac:dyDescent="0.2">
      <c r="A22" s="155"/>
      <c r="B22" s="164"/>
      <c r="C22" s="139" t="s">
        <v>81</v>
      </c>
      <c r="D22" s="140">
        <v>1</v>
      </c>
      <c r="E22" s="41"/>
      <c r="F22" s="140">
        <f>SUM(D22*E22)</f>
        <v>0</v>
      </c>
    </row>
    <row r="23" spans="1:6" ht="16.5" customHeight="1" x14ac:dyDescent="0.3">
      <c r="A23" s="155"/>
      <c r="B23" s="164"/>
      <c r="C23" s="157"/>
      <c r="D23" s="158"/>
      <c r="F23" s="159"/>
    </row>
    <row r="24" spans="1:6" ht="114.75" customHeight="1" x14ac:dyDescent="0.2">
      <c r="A24" s="155" t="s">
        <v>376</v>
      </c>
      <c r="B24" s="163" t="s">
        <v>379</v>
      </c>
      <c r="C24" s="139" t="s">
        <v>81</v>
      </c>
      <c r="D24" s="140">
        <v>1</v>
      </c>
      <c r="E24" s="41"/>
      <c r="F24" s="140">
        <f>SUM(D24*E24)</f>
        <v>0</v>
      </c>
    </row>
    <row r="25" spans="1:6" ht="16.5" customHeight="1" x14ac:dyDescent="0.3">
      <c r="A25" s="155"/>
      <c r="B25" s="164"/>
      <c r="C25" s="157"/>
      <c r="D25" s="158"/>
      <c r="F25" s="159"/>
    </row>
    <row r="26" spans="1:6" ht="16.5" customHeight="1" x14ac:dyDescent="0.2">
      <c r="A26" s="155" t="s">
        <v>376</v>
      </c>
      <c r="B26" s="163" t="s">
        <v>377</v>
      </c>
      <c r="C26" s="139" t="s">
        <v>11</v>
      </c>
      <c r="D26" s="140">
        <v>1</v>
      </c>
      <c r="E26" s="41"/>
      <c r="F26" s="140">
        <f>SUM(D26*E26)</f>
        <v>0</v>
      </c>
    </row>
    <row r="27" spans="1:6" x14ac:dyDescent="0.2">
      <c r="A27" s="165"/>
      <c r="B27" s="166"/>
      <c r="C27" s="167"/>
      <c r="D27" s="168"/>
    </row>
    <row r="28" spans="1:6" ht="15.75" x14ac:dyDescent="0.25">
      <c r="A28" s="150"/>
      <c r="B28" s="169" t="s">
        <v>12</v>
      </c>
      <c r="C28" s="170"/>
      <c r="D28" s="171"/>
      <c r="E28" s="172"/>
      <c r="F28" s="173">
        <f>SUM(F10:F26)</f>
        <v>0</v>
      </c>
    </row>
    <row r="29" spans="1:6" x14ac:dyDescent="0.2">
      <c r="A29" s="165"/>
      <c r="B29" s="166"/>
      <c r="C29" s="167"/>
      <c r="D29" s="168"/>
    </row>
    <row r="30" spans="1:6" ht="14.25" x14ac:dyDescent="0.2">
      <c r="A30" s="165"/>
      <c r="B30" s="174" t="s">
        <v>314</v>
      </c>
      <c r="C30" s="175"/>
      <c r="D30" s="175"/>
      <c r="E30" s="175"/>
      <c r="F30" s="175"/>
    </row>
    <row r="31" spans="1:6" ht="51" customHeight="1" x14ac:dyDescent="0.2">
      <c r="A31" s="165"/>
      <c r="B31" s="174" t="s">
        <v>310</v>
      </c>
      <c r="C31" s="175"/>
      <c r="D31" s="175"/>
      <c r="E31" s="175"/>
      <c r="F31" s="175"/>
    </row>
    <row r="32" spans="1:6" ht="45.75" customHeight="1" x14ac:dyDescent="0.2">
      <c r="A32" s="165"/>
      <c r="B32" s="174" t="s">
        <v>208</v>
      </c>
      <c r="C32" s="175"/>
      <c r="D32" s="175"/>
      <c r="E32" s="175"/>
      <c r="F32" s="175"/>
    </row>
    <row r="33" spans="1:6" s="138" customFormat="1" ht="15.75" x14ac:dyDescent="0.25">
      <c r="A33" s="176"/>
    </row>
    <row r="34" spans="1:6" s="138" customFormat="1" ht="15.75" x14ac:dyDescent="0.25">
      <c r="A34" s="176"/>
      <c r="B34" s="177"/>
      <c r="C34" s="178"/>
      <c r="D34" s="179"/>
      <c r="F34" s="180"/>
    </row>
    <row r="35" spans="1:6" s="138" customFormat="1" ht="15.75" x14ac:dyDescent="0.25">
      <c r="A35" s="176"/>
      <c r="B35" s="177"/>
      <c r="C35" s="178"/>
      <c r="D35" s="179"/>
      <c r="F35" s="180"/>
    </row>
    <row r="36" spans="1:6" x14ac:dyDescent="0.2">
      <c r="F36" s="141" t="s">
        <v>13</v>
      </c>
    </row>
    <row r="37" spans="1:6" x14ac:dyDescent="0.2">
      <c r="F37" s="141" t="s">
        <v>13</v>
      </c>
    </row>
  </sheetData>
  <sheetProtection algorithmName="SHA-512" hashValue="4/dnDMtNcyH82ELMR7zB9HqzoBj7Ljo7xRqtHVtoWwM9LCdUmcszLaki5+kMJgs7i9CB+GvxSBdaaU0tfxt3wA==" saltValue="M6Ap84TbEmQjoO85ECZ4UA==" spinCount="100000" sheet="1" objects="1" scenarios="1"/>
  <mergeCells count="5">
    <mergeCell ref="B4:F4"/>
    <mergeCell ref="B5:F5"/>
    <mergeCell ref="B32:F32"/>
    <mergeCell ref="B31:F31"/>
    <mergeCell ref="B30:F30"/>
  </mergeCells>
  <conditionalFormatting sqref="F15:F17">
    <cfRule type="cellIs" dxfId="1" priority="4" operator="equal">
      <formula>0</formula>
    </cfRule>
  </conditionalFormatting>
  <pageMargins left="0.98425196850393704" right="0.59055118110236227" top="0.78740157480314965" bottom="0.78740157480314965" header="0.19685039370078741" footer="0.19685039370078741"/>
  <pageSetup paperSize="9" firstPageNumber="0" orientation="portrait" horizontalDpi="4294967293" verticalDpi="300" r:id="rId1"/>
  <headerFooter alignWithMargins="0">
    <oddHeader>&amp;L&amp;9&amp;F&amp;R&amp;9&amp;A</oddHead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19118-A441-4392-9941-245294FC05A6}">
  <sheetPr codeName="List10"/>
  <dimension ref="A1:O23"/>
  <sheetViews>
    <sheetView zoomScale="124" zoomScaleNormal="124" workbookViewId="0">
      <selection activeCell="I14" sqref="I14"/>
    </sheetView>
  </sheetViews>
  <sheetFormatPr defaultRowHeight="12.75" x14ac:dyDescent="0.2"/>
  <cols>
    <col min="1" max="1" width="4.5" style="181" customWidth="1"/>
    <col min="2" max="2" width="35.125" style="142" customWidth="1"/>
    <col min="3" max="3" width="5" style="139" customWidth="1"/>
    <col min="4" max="4" width="7" style="140" customWidth="1"/>
    <col min="5" max="5" width="10.125" style="140" customWidth="1"/>
    <col min="6" max="6" width="15.125" style="141" customWidth="1"/>
    <col min="7" max="16384" width="9" style="142"/>
  </cols>
  <sheetData>
    <row r="1" spans="1:15" ht="15.75" x14ac:dyDescent="0.25">
      <c r="A1" s="137" t="s">
        <v>112</v>
      </c>
      <c r="B1" s="138" t="s">
        <v>113</v>
      </c>
    </row>
    <row r="2" spans="1:15" ht="15.75" x14ac:dyDescent="0.25">
      <c r="A2" s="137"/>
      <c r="B2" s="138"/>
    </row>
    <row r="3" spans="1:15" ht="12.75" customHeight="1" x14ac:dyDescent="0.2">
      <c r="B3" s="279" t="s">
        <v>16</v>
      </c>
    </row>
    <row r="4" spans="1:15" x14ac:dyDescent="0.2">
      <c r="A4" s="143"/>
      <c r="B4" s="317" t="s">
        <v>114</v>
      </c>
      <c r="C4" s="317"/>
      <c r="D4" s="317"/>
      <c r="E4" s="317"/>
      <c r="F4" s="317"/>
    </row>
    <row r="5" spans="1:15" ht="12.75" customHeight="1" x14ac:dyDescent="0.2">
      <c r="A5" s="143"/>
      <c r="B5" s="318" t="s">
        <v>167</v>
      </c>
      <c r="C5" s="318"/>
      <c r="D5" s="318"/>
      <c r="E5" s="318"/>
      <c r="F5" s="318"/>
    </row>
    <row r="6" spans="1:15" ht="12.75" customHeight="1" x14ac:dyDescent="0.2">
      <c r="A6" s="143"/>
      <c r="B6" s="318" t="s">
        <v>115</v>
      </c>
      <c r="C6" s="318"/>
      <c r="D6" s="318"/>
      <c r="E6" s="318"/>
      <c r="F6" s="318"/>
      <c r="J6" s="319"/>
      <c r="K6" s="319"/>
      <c r="L6" s="319"/>
      <c r="M6" s="319"/>
      <c r="N6" s="319"/>
      <c r="O6" s="319"/>
    </row>
    <row r="7" spans="1:15" ht="15" customHeight="1" x14ac:dyDescent="0.2">
      <c r="A7" s="143"/>
      <c r="B7" s="318" t="s">
        <v>116</v>
      </c>
      <c r="C7" s="318"/>
      <c r="D7" s="318"/>
      <c r="E7" s="318"/>
      <c r="F7" s="318"/>
    </row>
    <row r="8" spans="1:15" ht="12.75" customHeight="1" x14ac:dyDescent="0.2">
      <c r="A8" s="143"/>
      <c r="B8" s="277"/>
      <c r="C8" s="277"/>
      <c r="D8" s="277"/>
      <c r="E8" s="277"/>
      <c r="F8" s="277"/>
    </row>
    <row r="9" spans="1:15" ht="25.5" x14ac:dyDescent="0.2">
      <c r="A9" s="150" t="s">
        <v>2</v>
      </c>
      <c r="B9" s="151" t="s">
        <v>3</v>
      </c>
      <c r="C9" s="189" t="s">
        <v>4</v>
      </c>
      <c r="D9" s="189" t="s">
        <v>5</v>
      </c>
      <c r="E9" s="261" t="s">
        <v>216</v>
      </c>
      <c r="F9" s="320" t="s">
        <v>6</v>
      </c>
    </row>
    <row r="10" spans="1:15" ht="76.5" x14ac:dyDescent="0.2">
      <c r="A10" s="155" t="s">
        <v>117</v>
      </c>
      <c r="B10" s="264" t="s">
        <v>269</v>
      </c>
    </row>
    <row r="11" spans="1:15" ht="13.5" customHeight="1" x14ac:dyDescent="0.2">
      <c r="A11" s="308"/>
      <c r="B11" s="201" t="s">
        <v>268</v>
      </c>
      <c r="C11" s="139" t="s">
        <v>29</v>
      </c>
      <c r="D11" s="140">
        <f>SUM(10.3+1.2*2.35+1.2*1.2+1.2*1.7)</f>
        <v>16.600000000000001</v>
      </c>
      <c r="E11" s="41"/>
      <c r="F11" s="140">
        <f>SUM(D11*E11)</f>
        <v>0</v>
      </c>
    </row>
    <row r="12" spans="1:15" ht="13.5" customHeight="1" x14ac:dyDescent="0.2">
      <c r="A12" s="308"/>
      <c r="B12" s="321"/>
      <c r="C12" s="322"/>
      <c r="D12" s="323"/>
      <c r="F12" s="323"/>
    </row>
    <row r="13" spans="1:15" ht="55.5" customHeight="1" x14ac:dyDescent="0.2">
      <c r="A13" s="155" t="s">
        <v>281</v>
      </c>
      <c r="B13" s="264" t="s">
        <v>282</v>
      </c>
    </row>
    <row r="14" spans="1:15" ht="27" customHeight="1" x14ac:dyDescent="0.2">
      <c r="A14" s="308"/>
      <c r="B14" s="201" t="s">
        <v>283</v>
      </c>
      <c r="C14" s="139" t="s">
        <v>29</v>
      </c>
      <c r="D14" s="140">
        <f>SUM(130+47*0.1)</f>
        <v>134.69999999999999</v>
      </c>
      <c r="E14" s="41"/>
      <c r="F14" s="140">
        <f>SUM(D14*E14)</f>
        <v>0</v>
      </c>
    </row>
    <row r="15" spans="1:15" ht="13.5" customHeight="1" x14ac:dyDescent="0.2">
      <c r="A15" s="308"/>
      <c r="B15" s="324"/>
      <c r="F15" s="140"/>
    </row>
    <row r="16" spans="1:15" ht="18" customHeight="1" x14ac:dyDescent="0.25">
      <c r="A16" s="150"/>
      <c r="B16" s="325" t="s">
        <v>177</v>
      </c>
      <c r="C16" s="315"/>
      <c r="D16" s="316"/>
      <c r="E16" s="172"/>
      <c r="F16" s="267">
        <f>SUM(F11:F14)</f>
        <v>0</v>
      </c>
    </row>
    <row r="17" spans="1:6" ht="20.25" x14ac:dyDescent="0.2">
      <c r="A17" s="308"/>
      <c r="B17" s="159"/>
      <c r="C17" s="326"/>
      <c r="D17" s="327"/>
      <c r="E17" s="327"/>
      <c r="F17" s="328"/>
    </row>
    <row r="18" spans="1:6" ht="15.75" x14ac:dyDescent="0.2">
      <c r="A18" s="176"/>
      <c r="B18" s="149" t="s">
        <v>101</v>
      </c>
    </row>
    <row r="19" spans="1:6" ht="15.75" x14ac:dyDescent="0.2">
      <c r="A19" s="176"/>
      <c r="B19" s="329" t="s">
        <v>270</v>
      </c>
      <c r="C19" s="329"/>
      <c r="D19" s="329"/>
      <c r="E19" s="329"/>
      <c r="F19" s="329"/>
    </row>
    <row r="20" spans="1:6" ht="15.75" customHeight="1" x14ac:dyDescent="0.2">
      <c r="A20" s="176"/>
    </row>
    <row r="21" spans="1:6" ht="15.75" x14ac:dyDescent="0.2">
      <c r="A21" s="176"/>
      <c r="B21" s="149"/>
    </row>
    <row r="23" spans="1:6" ht="18" customHeight="1" x14ac:dyDescent="0.2"/>
  </sheetData>
  <sheetProtection algorithmName="SHA-512" hashValue="ggT631yDJ2Kd0vV51XfSuhiC201uCgCg0svA0af2WNc+2mKvKogGo3t5CxEv+F4tdPbXVj3cztaj6btXeOy1gg==" saltValue="zkVy496hlPTdHXx5hlPYZA==" spinCount="100000" sheet="1" objects="1" scenarios="1"/>
  <mergeCells count="6">
    <mergeCell ref="B19:F19"/>
    <mergeCell ref="J6:O6"/>
    <mergeCell ref="B5:F5"/>
    <mergeCell ref="B6:F6"/>
    <mergeCell ref="B7:F7"/>
    <mergeCell ref="B16:D16"/>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8D78D-EAFF-4477-8AD7-3F77E6EE592F}">
  <sheetPr codeName="List9"/>
  <dimension ref="A1:G17"/>
  <sheetViews>
    <sheetView topLeftCell="A7" zoomScale="130" zoomScaleNormal="130" workbookViewId="0">
      <selection activeCell="A7" sqref="A1:XFD1048576"/>
    </sheetView>
  </sheetViews>
  <sheetFormatPr defaultRowHeight="12.75" x14ac:dyDescent="0.2"/>
  <cols>
    <col min="1" max="1" width="4.5" style="181" customWidth="1"/>
    <col min="2" max="2" width="38.25" style="142" customWidth="1"/>
    <col min="3" max="3" width="5" style="139" customWidth="1"/>
    <col min="4" max="4" width="7" style="140" customWidth="1"/>
    <col min="5" max="5" width="10.125" style="140" customWidth="1"/>
    <col min="6" max="6" width="15.125" style="141" customWidth="1"/>
    <col min="7" max="16384" width="9" style="142"/>
  </cols>
  <sheetData>
    <row r="1" spans="1:7" ht="15.75" x14ac:dyDescent="0.25">
      <c r="A1" s="330" t="s">
        <v>118</v>
      </c>
      <c r="B1" s="138" t="s">
        <v>119</v>
      </c>
    </row>
    <row r="2" spans="1:7" ht="15.75" x14ac:dyDescent="0.25">
      <c r="A2" s="330"/>
      <c r="B2" s="138"/>
    </row>
    <row r="3" spans="1:7" ht="12.75" customHeight="1" x14ac:dyDescent="0.2">
      <c r="A3" s="159"/>
      <c r="B3" s="255" t="s">
        <v>16</v>
      </c>
      <c r="C3" s="160"/>
      <c r="D3" s="160"/>
      <c r="E3" s="160"/>
      <c r="F3" s="160"/>
      <c r="G3" s="160"/>
    </row>
    <row r="4" spans="1:7" ht="28.5" customHeight="1" x14ac:dyDescent="0.2">
      <c r="A4" s="159"/>
      <c r="B4" s="145" t="s">
        <v>120</v>
      </c>
      <c r="C4" s="145"/>
      <c r="D4" s="145"/>
      <c r="E4" s="145"/>
      <c r="F4" s="145"/>
      <c r="G4" s="160"/>
    </row>
    <row r="5" spans="1:7" ht="40.35" customHeight="1" x14ac:dyDescent="0.2">
      <c r="A5" s="159"/>
      <c r="B5" s="145" t="s">
        <v>121</v>
      </c>
      <c r="C5" s="145"/>
      <c r="D5" s="145"/>
      <c r="E5" s="145"/>
      <c r="F5" s="145"/>
      <c r="G5" s="160"/>
    </row>
    <row r="6" spans="1:7" ht="52.5" customHeight="1" x14ac:dyDescent="0.2">
      <c r="A6" s="159"/>
      <c r="B6" s="145" t="s">
        <v>122</v>
      </c>
      <c r="C6" s="145"/>
      <c r="D6" s="145"/>
      <c r="E6" s="145"/>
      <c r="F6" s="145"/>
      <c r="G6" s="160"/>
    </row>
    <row r="7" spans="1:7" x14ac:dyDescent="0.2">
      <c r="A7" s="277"/>
      <c r="B7" s="317"/>
      <c r="C7" s="317"/>
      <c r="D7" s="317"/>
      <c r="E7" s="317"/>
      <c r="F7" s="317"/>
    </row>
    <row r="8" spans="1:7" ht="28.35" customHeight="1" x14ac:dyDescent="0.2">
      <c r="A8" s="150" t="s">
        <v>2</v>
      </c>
      <c r="B8" s="151" t="s">
        <v>3</v>
      </c>
      <c r="C8" s="331" t="s">
        <v>4</v>
      </c>
      <c r="D8" s="189" t="s">
        <v>5</v>
      </c>
      <c r="E8" s="261" t="s">
        <v>216</v>
      </c>
      <c r="F8" s="320" t="s">
        <v>6</v>
      </c>
    </row>
    <row r="9" spans="1:7" ht="102.75" customHeight="1" x14ac:dyDescent="0.2">
      <c r="A9" s="155" t="s">
        <v>123</v>
      </c>
      <c r="B9" s="160" t="s">
        <v>168</v>
      </c>
    </row>
    <row r="10" spans="1:7" ht="40.5" customHeight="1" x14ac:dyDescent="0.2">
      <c r="A10" s="308"/>
      <c r="B10" s="163" t="s">
        <v>287</v>
      </c>
      <c r="C10" s="139" t="s">
        <v>29</v>
      </c>
      <c r="D10" s="140">
        <f>SUM(8.2+8.64+6.05+5.9+5.8+3.8+4.6+13.4+7.2+(17.4*0.1)*2)</f>
        <v>67.069999999999993</v>
      </c>
      <c r="E10" s="182"/>
      <c r="F10" s="140">
        <f>SUM(D10*E10)</f>
        <v>0</v>
      </c>
    </row>
    <row r="11" spans="1:7" ht="40.5" customHeight="1" x14ac:dyDescent="0.2">
      <c r="A11" s="308"/>
      <c r="B11" s="163" t="s">
        <v>271</v>
      </c>
      <c r="C11" s="139" t="s">
        <v>8</v>
      </c>
      <c r="D11" s="140">
        <f>SUM(8.6+13.2)</f>
        <v>21.799999999999997</v>
      </c>
      <c r="E11" s="182"/>
      <c r="F11" s="140">
        <f>SUM(D11*E11)</f>
        <v>0</v>
      </c>
    </row>
    <row r="12" spans="1:7" ht="27" customHeight="1" x14ac:dyDescent="0.2">
      <c r="A12" s="308"/>
      <c r="B12" s="163" t="s">
        <v>179</v>
      </c>
      <c r="C12" s="139" t="s">
        <v>29</v>
      </c>
      <c r="D12" s="140">
        <f>SUM((6+5.9+6+4.1)*3)</f>
        <v>66</v>
      </c>
      <c r="E12" s="182"/>
      <c r="F12" s="140">
        <f>SUM(D12*E12)</f>
        <v>0</v>
      </c>
    </row>
    <row r="13" spans="1:7" x14ac:dyDescent="0.2">
      <c r="E13" s="142"/>
    </row>
    <row r="14" spans="1:7" ht="15.75" x14ac:dyDescent="0.25">
      <c r="A14" s="314"/>
      <c r="B14" s="314" t="s">
        <v>124</v>
      </c>
      <c r="C14" s="170"/>
      <c r="D14" s="171"/>
      <c r="E14" s="172"/>
      <c r="F14" s="332">
        <f>SUM(F10:F12)</f>
        <v>0</v>
      </c>
    </row>
    <row r="15" spans="1:7" ht="14.25" x14ac:dyDescent="0.2">
      <c r="F15" s="159"/>
    </row>
    <row r="16" spans="1:7" x14ac:dyDescent="0.2">
      <c r="B16" s="142" t="s">
        <v>33</v>
      </c>
    </row>
    <row r="17" spans="2:2" x14ac:dyDescent="0.2">
      <c r="B17" s="142" t="s">
        <v>125</v>
      </c>
    </row>
  </sheetData>
  <sheetProtection algorithmName="SHA-512" hashValue="EkH6VxhsuVQBrpTbrhTZLeDGLgl/y6xHfOuCGx/OMS73jkLRhyD0LQedByMJs98ZRywSXJNtWDEWfCXGKBU+Aw==" saltValue="uJaxlMVQeZgaJXw3jDs5Eg==" spinCount="100000" sheet="1" objects="1" scenarios="1"/>
  <mergeCells count="3">
    <mergeCell ref="B4:F4"/>
    <mergeCell ref="B5:F5"/>
    <mergeCell ref="B6:F6"/>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ABBA-CD94-44E8-9B14-568736E10BAB}">
  <sheetPr codeName="List14"/>
  <dimension ref="A1:H22"/>
  <sheetViews>
    <sheetView topLeftCell="A7" zoomScale="118" zoomScaleNormal="118" workbookViewId="0">
      <selection activeCell="I20" sqref="I20"/>
    </sheetView>
  </sheetViews>
  <sheetFormatPr defaultRowHeight="12.75" x14ac:dyDescent="0.2"/>
  <cols>
    <col min="1" max="1" width="4.5" style="1" customWidth="1"/>
    <col min="2" max="2" width="35.125" style="2" customWidth="1"/>
    <col min="3" max="3" width="5" style="3" customWidth="1"/>
    <col min="4" max="4" width="7.75" style="4" customWidth="1"/>
    <col min="5" max="5" width="11.625" style="4" customWidth="1"/>
    <col min="6" max="6" width="12.625" style="5" customWidth="1"/>
    <col min="7" max="16384" width="9" style="2"/>
  </cols>
  <sheetData>
    <row r="1" spans="1:8" ht="15.75" x14ac:dyDescent="0.25">
      <c r="A1" s="14">
        <v>12</v>
      </c>
      <c r="B1" s="7" t="s">
        <v>126</v>
      </c>
    </row>
    <row r="2" spans="1:8" ht="15.75" x14ac:dyDescent="0.25">
      <c r="A2" s="14"/>
      <c r="B2" s="7"/>
    </row>
    <row r="3" spans="1:8" ht="12.75" customHeight="1" x14ac:dyDescent="0.2">
      <c r="B3" s="126" t="s">
        <v>16</v>
      </c>
      <c r="C3" s="126"/>
      <c r="D3" s="126"/>
      <c r="E3" s="126"/>
      <c r="F3" s="126"/>
    </row>
    <row r="4" spans="1:8" ht="12.75" customHeight="1" x14ac:dyDescent="0.2">
      <c r="B4" s="126" t="s">
        <v>127</v>
      </c>
      <c r="C4" s="126"/>
      <c r="D4" s="126"/>
      <c r="E4" s="126"/>
      <c r="F4" s="126"/>
    </row>
    <row r="5" spans="1:8" ht="29.25" customHeight="1" x14ac:dyDescent="0.2">
      <c r="B5" s="122" t="s">
        <v>128</v>
      </c>
      <c r="C5" s="122"/>
      <c r="D5" s="122"/>
      <c r="E5" s="122"/>
      <c r="F5" s="122"/>
    </row>
    <row r="6" spans="1:8" ht="50.25" customHeight="1" x14ac:dyDescent="0.2">
      <c r="B6" s="122" t="s">
        <v>129</v>
      </c>
      <c r="C6" s="122"/>
      <c r="D6" s="122"/>
      <c r="E6" s="122"/>
      <c r="F6" s="122"/>
    </row>
    <row r="7" spans="1:8" ht="27.75" customHeight="1" x14ac:dyDescent="0.2">
      <c r="B7" s="123" t="s">
        <v>299</v>
      </c>
      <c r="C7" s="124"/>
      <c r="D7" s="124"/>
      <c r="E7" s="124"/>
      <c r="F7" s="124"/>
    </row>
    <row r="8" spans="1:8" x14ac:dyDescent="0.2">
      <c r="A8" s="115"/>
      <c r="B8" s="115"/>
      <c r="C8" s="115"/>
      <c r="D8" s="115"/>
      <c r="E8" s="115"/>
      <c r="F8" s="115"/>
    </row>
    <row r="9" spans="1:8" s="37" customFormat="1" ht="25.5" x14ac:dyDescent="0.2">
      <c r="A9" s="8" t="s">
        <v>2</v>
      </c>
      <c r="B9" s="77" t="s">
        <v>3</v>
      </c>
      <c r="C9" s="78" t="s">
        <v>4</v>
      </c>
      <c r="D9" s="78" t="s">
        <v>5</v>
      </c>
      <c r="E9" s="109" t="s">
        <v>216</v>
      </c>
      <c r="F9" s="30" t="s">
        <v>6</v>
      </c>
    </row>
    <row r="10" spans="1:8" s="37" customFormat="1" ht="51" x14ac:dyDescent="0.2">
      <c r="A10" s="10" t="s">
        <v>130</v>
      </c>
      <c r="B10" s="112" t="s">
        <v>178</v>
      </c>
      <c r="C10" s="3"/>
      <c r="D10" s="4"/>
      <c r="E10" s="38"/>
      <c r="F10" s="39"/>
    </row>
    <row r="11" spans="1:8" s="37" customFormat="1" ht="14.25" x14ac:dyDescent="0.2">
      <c r="A11" s="10"/>
      <c r="B11" s="113" t="s">
        <v>131</v>
      </c>
      <c r="C11" s="3" t="s">
        <v>29</v>
      </c>
      <c r="D11" s="20">
        <f>SUM(21.8*3+46.7*3)</f>
        <v>205.50000000000003</v>
      </c>
      <c r="E11" s="41"/>
      <c r="F11" s="4">
        <f>SUM(D11*E11)</f>
        <v>0</v>
      </c>
    </row>
    <row r="12" spans="1:8" s="37" customFormat="1" x14ac:dyDescent="0.2">
      <c r="A12" s="10"/>
      <c r="B12" s="113"/>
      <c r="C12" s="3"/>
      <c r="D12" s="4"/>
      <c r="E12" s="4"/>
      <c r="F12" s="40"/>
    </row>
    <row r="13" spans="1:8" s="37" customFormat="1" ht="25.5" x14ac:dyDescent="0.2">
      <c r="A13" s="10" t="s">
        <v>181</v>
      </c>
      <c r="B13" s="119" t="s">
        <v>323</v>
      </c>
      <c r="C13" s="3"/>
      <c r="D13" s="4"/>
      <c r="E13" s="4"/>
      <c r="F13" s="40"/>
    </row>
    <row r="14" spans="1:8" s="37" customFormat="1" ht="55.5" customHeight="1" x14ac:dyDescent="0.2">
      <c r="A14" s="10"/>
      <c r="B14" s="113" t="s">
        <v>322</v>
      </c>
      <c r="C14" s="3" t="s">
        <v>29</v>
      </c>
      <c r="D14" s="20">
        <f>SUM(159.67+12.76)</f>
        <v>172.42999999999998</v>
      </c>
      <c r="E14" s="41"/>
      <c r="F14" s="4">
        <f>SUM(D14*E14)</f>
        <v>0</v>
      </c>
    </row>
    <row r="15" spans="1:8" s="37" customFormat="1" ht="51" x14ac:dyDescent="0.2">
      <c r="A15" s="10"/>
      <c r="B15" s="113" t="s">
        <v>324</v>
      </c>
      <c r="C15" s="3" t="s">
        <v>29</v>
      </c>
      <c r="D15" s="20">
        <f>SUM(21.8*3+46.7*3)</f>
        <v>205.50000000000003</v>
      </c>
      <c r="E15" s="41"/>
      <c r="F15" s="4">
        <f>SUM(D15*E15)</f>
        <v>0</v>
      </c>
      <c r="H15" s="38"/>
    </row>
    <row r="16" spans="1:8" s="37" customFormat="1" x14ac:dyDescent="0.2">
      <c r="A16" s="10"/>
      <c r="B16" s="116"/>
      <c r="C16" s="3"/>
      <c r="D16" s="4"/>
      <c r="E16" s="38"/>
      <c r="F16" s="39"/>
    </row>
    <row r="17" spans="1:6" s="37" customFormat="1" ht="15.75" x14ac:dyDescent="0.25">
      <c r="A17" s="78"/>
      <c r="B17" s="79" t="s">
        <v>132</v>
      </c>
      <c r="C17" s="11"/>
      <c r="D17" s="12"/>
      <c r="E17" s="13"/>
      <c r="F17" s="12">
        <f>SUM(F11:F15)</f>
        <v>0</v>
      </c>
    </row>
    <row r="18" spans="1:6" s="37" customFormat="1" x14ac:dyDescent="0.2">
      <c r="A18" s="10"/>
      <c r="B18" s="116"/>
      <c r="C18" s="3"/>
      <c r="D18" s="4"/>
      <c r="E18" s="38"/>
      <c r="F18" s="39"/>
    </row>
    <row r="19" spans="1:6" s="37" customFormat="1" x14ac:dyDescent="0.2">
      <c r="A19" s="10"/>
      <c r="B19" s="115" t="s">
        <v>33</v>
      </c>
      <c r="C19" s="3"/>
      <c r="D19" s="4"/>
      <c r="E19" s="38"/>
      <c r="F19" s="39"/>
    </row>
    <row r="20" spans="1:6" s="37" customFormat="1" x14ac:dyDescent="0.2">
      <c r="A20" s="10"/>
      <c r="B20" s="115" t="s">
        <v>133</v>
      </c>
      <c r="C20" s="3"/>
      <c r="D20" s="4"/>
      <c r="E20" s="38"/>
      <c r="F20" s="39"/>
    </row>
    <row r="21" spans="1:6" s="37" customFormat="1" x14ac:dyDescent="0.2">
      <c r="A21" s="10"/>
      <c r="B21" s="2" t="s">
        <v>134</v>
      </c>
      <c r="C21" s="3"/>
      <c r="D21" s="4"/>
      <c r="E21" s="38"/>
      <c r="F21" s="39"/>
    </row>
    <row r="22" spans="1:6" ht="14.25" x14ac:dyDescent="0.2">
      <c r="A22" s="2"/>
      <c r="B22" s="132" t="s">
        <v>180</v>
      </c>
      <c r="C22" s="125"/>
      <c r="D22" s="125"/>
      <c r="E22" s="125"/>
      <c r="F22" s="125"/>
    </row>
  </sheetData>
  <sheetProtection algorithmName="SHA-512" hashValue="IvM8ad/BAuhRfEZaDcmcAo9syxLZfdPWM/uwdS56GZAsuMhNyEUOabepMvwqhbFS7PENzMbsziJ2ke+r2hKUMA==" saltValue="/ErrjpZTSmwTqnbDokuv1Q==" spinCount="100000" sheet="1" objects="1" scenarios="1"/>
  <mergeCells count="6">
    <mergeCell ref="B3:F3"/>
    <mergeCell ref="B4:F4"/>
    <mergeCell ref="B5:F5"/>
    <mergeCell ref="B6:F6"/>
    <mergeCell ref="B22:F22"/>
    <mergeCell ref="B7:F7"/>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94FD6-BF45-4C94-8C0E-3E1DF3098A74}">
  <sheetPr codeName="List15"/>
  <dimension ref="A1:I35"/>
  <sheetViews>
    <sheetView topLeftCell="A4" zoomScale="130" zoomScaleNormal="130" workbookViewId="0">
      <selection activeCell="A4" sqref="A1:XFD1048576"/>
    </sheetView>
  </sheetViews>
  <sheetFormatPr defaultRowHeight="12.75" x14ac:dyDescent="0.2"/>
  <cols>
    <col min="1" max="1" width="4.5" style="181" customWidth="1"/>
    <col min="2" max="2" width="35.125" style="142" customWidth="1"/>
    <col min="3" max="3" width="5" style="139" customWidth="1"/>
    <col min="4" max="4" width="7.875" style="140" customWidth="1"/>
    <col min="5" max="5" width="8.75" style="140" customWidth="1"/>
    <col min="6" max="6" width="15.75" style="141" customWidth="1"/>
    <col min="7" max="16384" width="9" style="142"/>
  </cols>
  <sheetData>
    <row r="1" spans="1:9" ht="15.75" x14ac:dyDescent="0.25">
      <c r="A1" s="176" t="s">
        <v>148</v>
      </c>
      <c r="B1" s="138" t="s">
        <v>136</v>
      </c>
      <c r="C1" s="140"/>
    </row>
    <row r="2" spans="1:9" ht="12.75" customHeight="1" x14ac:dyDescent="0.2">
      <c r="A2" s="176"/>
      <c r="B2" s="333"/>
      <c r="C2" s="140"/>
    </row>
    <row r="3" spans="1:9" ht="12.75" customHeight="1" x14ac:dyDescent="0.2">
      <c r="A3" s="159"/>
      <c r="B3" s="255" t="s">
        <v>16</v>
      </c>
      <c r="C3" s="160"/>
      <c r="D3" s="160"/>
      <c r="E3" s="160"/>
      <c r="F3" s="160"/>
      <c r="G3" s="160"/>
    </row>
    <row r="4" spans="1:9" ht="28.5" customHeight="1" x14ac:dyDescent="0.2">
      <c r="A4" s="159"/>
      <c r="B4" s="145" t="s">
        <v>137</v>
      </c>
      <c r="C4" s="145"/>
      <c r="D4" s="145"/>
      <c r="E4" s="145"/>
      <c r="F4" s="145"/>
      <c r="G4" s="160"/>
    </row>
    <row r="5" spans="1:9" ht="40.5" customHeight="1" x14ac:dyDescent="0.2">
      <c r="A5" s="159"/>
      <c r="B5" s="145" t="s">
        <v>184</v>
      </c>
      <c r="C5" s="145"/>
      <c r="D5" s="145"/>
      <c r="E5" s="145"/>
      <c r="F5" s="145"/>
      <c r="G5" s="160"/>
    </row>
    <row r="6" spans="1:9" ht="15" customHeight="1" x14ac:dyDescent="0.2">
      <c r="A6" s="159"/>
      <c r="B6" s="160"/>
      <c r="C6" s="160"/>
      <c r="D6" s="160"/>
      <c r="E6" s="160"/>
      <c r="F6" s="160"/>
      <c r="G6" s="160"/>
    </row>
    <row r="7" spans="1:9" ht="25.5" x14ac:dyDescent="0.2">
      <c r="A7" s="334" t="s">
        <v>2</v>
      </c>
      <c r="B7" s="334" t="s">
        <v>3</v>
      </c>
      <c r="C7" s="334" t="s">
        <v>4</v>
      </c>
      <c r="D7" s="334" t="s">
        <v>5</v>
      </c>
      <c r="E7" s="261" t="s">
        <v>216</v>
      </c>
      <c r="F7" s="334" t="s">
        <v>6</v>
      </c>
    </row>
    <row r="8" spans="1:9" ht="38.25" x14ac:dyDescent="0.2">
      <c r="A8" s="155" t="s">
        <v>138</v>
      </c>
      <c r="B8" s="160" t="s">
        <v>183</v>
      </c>
      <c r="C8" s="139" t="s">
        <v>29</v>
      </c>
      <c r="D8" s="140">
        <v>246</v>
      </c>
      <c r="E8" s="41"/>
      <c r="F8" s="140">
        <f>SUM(D8*E8)</f>
        <v>0</v>
      </c>
    </row>
    <row r="9" spans="1:9" x14ac:dyDescent="0.2">
      <c r="A9" s="155"/>
      <c r="B9" s="160"/>
    </row>
    <row r="10" spans="1:9" ht="51" x14ac:dyDescent="0.2">
      <c r="A10" s="155" t="s">
        <v>182</v>
      </c>
      <c r="B10" s="160" t="s">
        <v>352</v>
      </c>
    </row>
    <row r="11" spans="1:9" ht="14.25" x14ac:dyDescent="0.2">
      <c r="A11" s="155"/>
      <c r="B11" s="163" t="s">
        <v>272</v>
      </c>
      <c r="C11" s="139" t="s">
        <v>29</v>
      </c>
      <c r="D11" s="140">
        <f>SUM(48*0.6)</f>
        <v>28.799999999999997</v>
      </c>
      <c r="E11" s="41"/>
      <c r="F11" s="140">
        <f>SUM(D11*E11)</f>
        <v>0</v>
      </c>
    </row>
    <row r="12" spans="1:9" x14ac:dyDescent="0.2">
      <c r="A12" s="155"/>
      <c r="B12" s="160"/>
    </row>
    <row r="13" spans="1:9" ht="102" x14ac:dyDescent="0.2">
      <c r="A13" s="155" t="s">
        <v>353</v>
      </c>
      <c r="B13" s="160" t="s">
        <v>273</v>
      </c>
      <c r="I13" s="335"/>
    </row>
    <row r="14" spans="1:9" ht="15.75" x14ac:dyDescent="0.2">
      <c r="A14" s="155"/>
      <c r="B14" s="226" t="s">
        <v>274</v>
      </c>
      <c r="C14" s="139" t="s">
        <v>8</v>
      </c>
      <c r="D14" s="140">
        <f>SUM(2.4*2.9)</f>
        <v>6.96</v>
      </c>
      <c r="E14" s="41"/>
      <c r="F14" s="140">
        <f>SUM(D14*E14)</f>
        <v>0</v>
      </c>
      <c r="I14" s="335"/>
    </row>
    <row r="15" spans="1:9" ht="15" customHeight="1" x14ac:dyDescent="0.2">
      <c r="A15" s="155"/>
      <c r="B15" s="226" t="s">
        <v>275</v>
      </c>
      <c r="C15" s="139" t="s">
        <v>8</v>
      </c>
      <c r="D15" s="140">
        <f>SUM(2.4*2.5)</f>
        <v>6</v>
      </c>
      <c r="E15" s="41"/>
      <c r="F15" s="140">
        <f>SUM(D15*E15)</f>
        <v>0</v>
      </c>
      <c r="I15" s="335"/>
    </row>
    <row r="16" spans="1:9" x14ac:dyDescent="0.2">
      <c r="A16" s="155"/>
      <c r="B16" s="160"/>
      <c r="C16" s="250"/>
      <c r="D16" s="251"/>
      <c r="E16" s="251"/>
      <c r="F16" s="336"/>
    </row>
    <row r="17" spans="1:6" ht="15.75" x14ac:dyDescent="0.25">
      <c r="A17" s="150"/>
      <c r="B17" s="337" t="s">
        <v>139</v>
      </c>
      <c r="C17" s="170"/>
      <c r="D17" s="171"/>
      <c r="E17" s="172"/>
      <c r="F17" s="338">
        <f>SUM(F8:F15)</f>
        <v>0</v>
      </c>
    </row>
    <row r="18" spans="1:6" x14ac:dyDescent="0.2">
      <c r="A18" s="155"/>
      <c r="B18" s="195"/>
    </row>
    <row r="19" spans="1:6" x14ac:dyDescent="0.2">
      <c r="A19" s="155"/>
      <c r="B19" s="195" t="s">
        <v>33</v>
      </c>
    </row>
    <row r="20" spans="1:6" x14ac:dyDescent="0.2">
      <c r="A20" s="155"/>
      <c r="B20" s="195" t="s">
        <v>140</v>
      </c>
    </row>
    <row r="21" spans="1:6" x14ac:dyDescent="0.2">
      <c r="A21" s="155"/>
      <c r="B21" s="195"/>
    </row>
    <row r="22" spans="1:6" ht="14.25" x14ac:dyDescent="0.2">
      <c r="A22" s="155"/>
      <c r="B22" s="222" t="s">
        <v>186</v>
      </c>
      <c r="C22" s="223"/>
      <c r="D22" s="223"/>
      <c r="E22" s="223"/>
      <c r="F22" s="223"/>
    </row>
    <row r="23" spans="1:6" x14ac:dyDescent="0.2">
      <c r="A23" s="155"/>
      <c r="B23" s="239" t="s">
        <v>187</v>
      </c>
    </row>
    <row r="24" spans="1:6" x14ac:dyDescent="0.2">
      <c r="A24" s="155"/>
      <c r="B24" s="239" t="s">
        <v>188</v>
      </c>
    </row>
    <row r="25" spans="1:6" x14ac:dyDescent="0.2">
      <c r="A25" s="155"/>
      <c r="B25" s="239" t="s">
        <v>191</v>
      </c>
    </row>
    <row r="26" spans="1:6" ht="15" customHeight="1" x14ac:dyDescent="0.2">
      <c r="A26" s="155"/>
      <c r="B26" s="239" t="s">
        <v>189</v>
      </c>
    </row>
    <row r="27" spans="1:6" x14ac:dyDescent="0.2">
      <c r="A27" s="155"/>
      <c r="B27" s="239" t="s">
        <v>190</v>
      </c>
    </row>
    <row r="28" spans="1:6" ht="14.25" x14ac:dyDescent="0.2">
      <c r="A28" s="155"/>
      <c r="B28" s="339" t="s">
        <v>185</v>
      </c>
      <c r="C28" s="223"/>
      <c r="D28" s="223"/>
      <c r="E28" s="223"/>
      <c r="F28" s="223"/>
    </row>
    <row r="29" spans="1:6" ht="14.25" x14ac:dyDescent="0.2">
      <c r="A29" s="155"/>
      <c r="B29" s="195"/>
      <c r="C29" s="340"/>
      <c r="D29" s="340"/>
      <c r="E29" s="340"/>
      <c r="F29" s="340"/>
    </row>
    <row r="30" spans="1:6" ht="14.25" x14ac:dyDescent="0.2">
      <c r="A30" s="155"/>
      <c r="B30" s="195"/>
      <c r="C30" s="340"/>
      <c r="D30" s="340"/>
      <c r="E30" s="340"/>
      <c r="F30" s="340"/>
    </row>
    <row r="31" spans="1:6" ht="14.25" x14ac:dyDescent="0.2">
      <c r="A31" s="155"/>
      <c r="B31" s="195"/>
      <c r="C31" s="340"/>
      <c r="D31" s="340"/>
      <c r="E31" s="340"/>
      <c r="F31" s="340"/>
    </row>
    <row r="35" ht="14.25" customHeight="1" x14ac:dyDescent="0.2"/>
  </sheetData>
  <sheetProtection algorithmName="SHA-512" hashValue="ZQBzy3tdAnYVRMfK3LgDp8/kX4xeVnrTCBwIwJhVppj5g0Om+vl7Xhs4K85f8QOvstXhrP5freRcGH+GGm8dBA==" saltValue="AlUK4vIXeNpo6o1UDcqA+w==" spinCount="100000" sheet="1" objects="1" scenarios="1"/>
  <mergeCells count="4">
    <mergeCell ref="B4:F4"/>
    <mergeCell ref="B5:F5"/>
    <mergeCell ref="B22:F22"/>
    <mergeCell ref="B28:F28"/>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44D2-E6C4-4A1E-947B-8D5CE09AB241}">
  <dimension ref="A1:G36"/>
  <sheetViews>
    <sheetView topLeftCell="B22" zoomScale="118" zoomScaleNormal="118" workbookViewId="0">
      <selection activeCell="E29" sqref="E29:F29"/>
    </sheetView>
  </sheetViews>
  <sheetFormatPr defaultRowHeight="14.25" x14ac:dyDescent="0.2"/>
  <cols>
    <col min="1" max="2" width="5.25" customWidth="1"/>
    <col min="3" max="3" width="37.625" customWidth="1"/>
    <col min="4" max="4" width="6.625" customWidth="1"/>
    <col min="5" max="5" width="7.875" customWidth="1"/>
    <col min="7" max="7" width="8.5" customWidth="1"/>
  </cols>
  <sheetData>
    <row r="1" spans="1:7" ht="21" customHeight="1" x14ac:dyDescent="0.25">
      <c r="A1" s="7" t="s">
        <v>135</v>
      </c>
      <c r="B1" s="7"/>
      <c r="C1" s="7" t="s">
        <v>173</v>
      </c>
    </row>
    <row r="2" spans="1:7" ht="21" customHeight="1" x14ac:dyDescent="0.25">
      <c r="A2" s="7"/>
      <c r="B2" s="7"/>
      <c r="C2" s="7"/>
    </row>
    <row r="3" spans="1:7" ht="15.75" customHeight="1" x14ac:dyDescent="0.25">
      <c r="A3" s="7"/>
      <c r="B3" s="7"/>
      <c r="C3" s="90" t="s">
        <v>16</v>
      </c>
      <c r="D3" s="91"/>
      <c r="E3" s="91"/>
      <c r="F3" s="91"/>
      <c r="G3" s="91"/>
    </row>
    <row r="4" spans="1:7" ht="33" customHeight="1" x14ac:dyDescent="0.25">
      <c r="A4" s="7"/>
      <c r="B4" s="7"/>
      <c r="C4" s="134" t="s">
        <v>209</v>
      </c>
      <c r="D4" s="135"/>
      <c r="E4" s="135"/>
      <c r="F4" s="135"/>
      <c r="G4" s="135"/>
    </row>
    <row r="5" spans="1:7" ht="36.75" customHeight="1" x14ac:dyDescent="0.25">
      <c r="A5" s="7"/>
      <c r="B5" s="7"/>
      <c r="C5" s="133" t="s">
        <v>204</v>
      </c>
      <c r="D5" s="133"/>
      <c r="E5" s="133"/>
      <c r="F5" s="133"/>
      <c r="G5" s="133"/>
    </row>
    <row r="6" spans="1:7" ht="33.75" customHeight="1" x14ac:dyDescent="0.25">
      <c r="A6" s="7"/>
      <c r="B6" s="7"/>
      <c r="C6" s="133" t="s">
        <v>203</v>
      </c>
      <c r="D6" s="133"/>
      <c r="E6" s="133"/>
      <c r="F6" s="133"/>
      <c r="G6" s="133"/>
    </row>
    <row r="7" spans="1:7" ht="21" customHeight="1" x14ac:dyDescent="0.25">
      <c r="A7" s="7"/>
      <c r="B7" s="7"/>
      <c r="C7" s="7"/>
    </row>
    <row r="8" spans="1:7" ht="23.25" customHeight="1" x14ac:dyDescent="0.2">
      <c r="A8" s="85" t="s">
        <v>2</v>
      </c>
      <c r="B8" s="85"/>
      <c r="C8" s="85" t="s">
        <v>3</v>
      </c>
      <c r="D8" s="85" t="s">
        <v>4</v>
      </c>
      <c r="E8" s="85" t="s">
        <v>5</v>
      </c>
      <c r="F8" s="110" t="s">
        <v>216</v>
      </c>
      <c r="G8" s="110" t="s">
        <v>6</v>
      </c>
    </row>
    <row r="9" spans="1:7" ht="42.75" customHeight="1" x14ac:dyDescent="0.2">
      <c r="A9" s="114"/>
      <c r="B9" s="114"/>
      <c r="C9" s="114" t="s">
        <v>278</v>
      </c>
      <c r="D9" s="114"/>
      <c r="E9" s="114"/>
      <c r="F9" s="114"/>
      <c r="G9" s="114"/>
    </row>
    <row r="10" spans="1:7" ht="81" customHeight="1" x14ac:dyDescent="0.2">
      <c r="A10" s="86" t="s">
        <v>194</v>
      </c>
      <c r="B10" s="86" t="s">
        <v>194</v>
      </c>
      <c r="C10" s="112" t="s">
        <v>359</v>
      </c>
      <c r="D10" s="3"/>
      <c r="E10" s="4"/>
      <c r="F10" s="4"/>
      <c r="G10" s="5"/>
    </row>
    <row r="11" spans="1:7" ht="28.5" customHeight="1" x14ac:dyDescent="0.2">
      <c r="A11" s="86"/>
      <c r="B11" s="86"/>
      <c r="C11" s="116" t="s">
        <v>358</v>
      </c>
      <c r="D11" s="37" t="s">
        <v>29</v>
      </c>
      <c r="E11" s="4">
        <f>SUM(128+87)</f>
        <v>215</v>
      </c>
      <c r="F11" s="41"/>
      <c r="G11" s="4">
        <f>SUM(E11*F11)</f>
        <v>0</v>
      </c>
    </row>
    <row r="12" spans="1:7" ht="16.5" customHeight="1" x14ac:dyDescent="0.2">
      <c r="A12" s="87"/>
      <c r="B12" s="87"/>
      <c r="C12" s="116"/>
      <c r="D12" s="37"/>
      <c r="E12" s="4"/>
      <c r="F12" s="4"/>
      <c r="G12" s="5"/>
    </row>
    <row r="13" spans="1:7" ht="105.75" customHeight="1" x14ac:dyDescent="0.2">
      <c r="A13" s="86" t="s">
        <v>195</v>
      </c>
      <c r="B13" s="86" t="s">
        <v>195</v>
      </c>
      <c r="C13" s="57" t="s">
        <v>357</v>
      </c>
      <c r="D13" s="96"/>
      <c r="E13" s="55"/>
      <c r="F13" s="55"/>
      <c r="G13" s="97"/>
    </row>
    <row r="14" spans="1:7" ht="15.75" customHeight="1" x14ac:dyDescent="0.2">
      <c r="A14" s="98"/>
      <c r="B14" s="98"/>
      <c r="C14" s="116" t="s">
        <v>363</v>
      </c>
      <c r="D14" s="37" t="s">
        <v>29</v>
      </c>
      <c r="E14" s="4">
        <v>215</v>
      </c>
      <c r="F14" s="41"/>
      <c r="G14" s="4">
        <f>SUM(E14*F14)</f>
        <v>0</v>
      </c>
    </row>
    <row r="15" spans="1:7" x14ac:dyDescent="0.2">
      <c r="A15" s="87"/>
      <c r="B15" s="87"/>
      <c r="C15" s="82"/>
      <c r="D15" s="83"/>
      <c r="E15" s="81"/>
      <c r="F15" s="81"/>
      <c r="G15" s="81"/>
    </row>
    <row r="16" spans="1:7" ht="78" customHeight="1" x14ac:dyDescent="0.2">
      <c r="A16" s="86" t="s">
        <v>196</v>
      </c>
      <c r="B16" s="86" t="s">
        <v>196</v>
      </c>
      <c r="C16" s="112" t="s">
        <v>315</v>
      </c>
      <c r="D16" s="83"/>
      <c r="E16" s="81"/>
      <c r="F16" s="81"/>
      <c r="G16" s="81"/>
    </row>
    <row r="17" spans="1:7" ht="38.25" x14ac:dyDescent="0.2">
      <c r="A17" s="87"/>
      <c r="B17" s="87"/>
      <c r="C17" s="102" t="s">
        <v>317</v>
      </c>
      <c r="D17" s="103" t="s">
        <v>316</v>
      </c>
      <c r="E17" s="4">
        <v>122</v>
      </c>
      <c r="F17" s="341"/>
      <c r="G17" s="75">
        <f>SUM(E17*F17)</f>
        <v>0</v>
      </c>
    </row>
    <row r="18" spans="1:7" x14ac:dyDescent="0.2">
      <c r="A18" s="87"/>
      <c r="B18" s="87"/>
      <c r="C18" s="99" t="s">
        <v>360</v>
      </c>
      <c r="D18" s="101"/>
      <c r="E18" s="99"/>
      <c r="F18" s="81"/>
      <c r="G18" s="81"/>
    </row>
    <row r="19" spans="1:7" x14ac:dyDescent="0.2">
      <c r="A19" s="87"/>
      <c r="B19" s="87"/>
      <c r="C19" s="82"/>
      <c r="D19" s="83"/>
      <c r="E19" s="81"/>
      <c r="F19" s="81"/>
      <c r="G19" s="81"/>
    </row>
    <row r="20" spans="1:7" x14ac:dyDescent="0.2">
      <c r="C20" s="81" t="s">
        <v>197</v>
      </c>
      <c r="D20" s="83"/>
      <c r="E20" s="81"/>
      <c r="F20" s="81"/>
      <c r="G20" s="81"/>
    </row>
    <row r="21" spans="1:7" ht="79.5" customHeight="1" x14ac:dyDescent="0.2">
      <c r="A21" s="86" t="s">
        <v>198</v>
      </c>
      <c r="B21" s="86" t="s">
        <v>198</v>
      </c>
      <c r="C21" s="112" t="s">
        <v>211</v>
      </c>
      <c r="D21" s="83"/>
      <c r="E21" s="84"/>
      <c r="F21" s="84"/>
      <c r="G21" s="84"/>
    </row>
    <row r="22" spans="1:7" ht="14.25" customHeight="1" x14ac:dyDescent="0.2">
      <c r="A22" s="86"/>
      <c r="B22" s="86"/>
      <c r="C22" s="93" t="s">
        <v>364</v>
      </c>
      <c r="D22" s="83" t="s">
        <v>11</v>
      </c>
      <c r="E22" s="4">
        <v>1</v>
      </c>
      <c r="F22" s="41"/>
      <c r="G22" s="4">
        <f>SUM(E22*F22)</f>
        <v>0</v>
      </c>
    </row>
    <row r="23" spans="1:7" x14ac:dyDescent="0.2">
      <c r="A23" s="86"/>
      <c r="B23" s="86"/>
      <c r="C23" s="88"/>
      <c r="D23" s="83"/>
      <c r="E23" s="84"/>
      <c r="F23" s="84"/>
      <c r="G23" s="84"/>
    </row>
    <row r="24" spans="1:7" ht="114.75" customHeight="1" x14ac:dyDescent="0.2">
      <c r="A24" s="86" t="s">
        <v>199</v>
      </c>
      <c r="B24" s="86" t="s">
        <v>199</v>
      </c>
      <c r="C24" s="112" t="s">
        <v>361</v>
      </c>
      <c r="D24" s="83"/>
      <c r="E24" s="84"/>
      <c r="F24" s="84"/>
      <c r="G24" s="84"/>
    </row>
    <row r="25" spans="1:7" ht="25.5" x14ac:dyDescent="0.2">
      <c r="A25" s="86"/>
      <c r="B25" s="86"/>
      <c r="C25" s="113" t="s">
        <v>362</v>
      </c>
      <c r="D25" s="92" t="s">
        <v>201</v>
      </c>
      <c r="E25" s="4">
        <f>SUM(96)</f>
        <v>96</v>
      </c>
      <c r="F25" s="41"/>
      <c r="G25" s="4">
        <f>SUM(E25*F25)</f>
        <v>0</v>
      </c>
    </row>
    <row r="26" spans="1:7" ht="28.5" x14ac:dyDescent="0.2">
      <c r="A26" s="86"/>
      <c r="B26" s="86"/>
      <c r="C26" s="89" t="s">
        <v>279</v>
      </c>
      <c r="D26" s="62"/>
      <c r="E26" s="56"/>
      <c r="F26" s="56"/>
      <c r="G26" s="56"/>
    </row>
    <row r="27" spans="1:7" x14ac:dyDescent="0.2">
      <c r="A27" s="86"/>
      <c r="B27" s="86"/>
      <c r="C27" s="112" t="s">
        <v>200</v>
      </c>
      <c r="D27" s="62"/>
      <c r="E27" s="56"/>
      <c r="F27" s="56"/>
      <c r="G27" s="56"/>
    </row>
    <row r="28" spans="1:7" ht="89.25" x14ac:dyDescent="0.2">
      <c r="A28" s="94" t="s">
        <v>205</v>
      </c>
      <c r="B28" s="94" t="s">
        <v>205</v>
      </c>
      <c r="C28" s="113" t="s">
        <v>365</v>
      </c>
      <c r="D28" s="37"/>
      <c r="E28" s="76"/>
      <c r="F28" s="76"/>
      <c r="G28" s="76"/>
    </row>
    <row r="29" spans="1:7" x14ac:dyDescent="0.2">
      <c r="A29" s="94"/>
      <c r="B29" s="94"/>
      <c r="C29" s="113" t="s">
        <v>366</v>
      </c>
      <c r="D29" s="37" t="s">
        <v>206</v>
      </c>
      <c r="E29" s="4">
        <v>1</v>
      </c>
      <c r="F29" s="41"/>
      <c r="G29" s="4">
        <f>SUM(E29*F29)</f>
        <v>0</v>
      </c>
    </row>
    <row r="30" spans="1:7" x14ac:dyDescent="0.2">
      <c r="D30" s="63"/>
      <c r="E30" s="64"/>
      <c r="F30" s="64"/>
      <c r="G30" s="64"/>
    </row>
    <row r="31" spans="1:7" ht="15.75" x14ac:dyDescent="0.25">
      <c r="C31" s="117" t="s">
        <v>174</v>
      </c>
      <c r="D31" s="63"/>
      <c r="E31" s="64"/>
      <c r="F31" s="64"/>
      <c r="G31" s="108">
        <f>SUM(G11:G29)</f>
        <v>0</v>
      </c>
    </row>
    <row r="33" spans="3:7" x14ac:dyDescent="0.2">
      <c r="C33" t="s">
        <v>33</v>
      </c>
    </row>
    <row r="34" spans="3:7" x14ac:dyDescent="0.2">
      <c r="C34" t="s">
        <v>202</v>
      </c>
    </row>
    <row r="35" spans="3:7" ht="30" customHeight="1" x14ac:dyDescent="0.2">
      <c r="C35" s="125" t="s">
        <v>394</v>
      </c>
      <c r="D35" s="125"/>
      <c r="E35" s="125"/>
      <c r="F35" s="125"/>
      <c r="G35" s="125"/>
    </row>
    <row r="36" spans="3:7" ht="15" customHeight="1" x14ac:dyDescent="0.2">
      <c r="C36" s="125" t="s">
        <v>393</v>
      </c>
      <c r="D36" s="125"/>
      <c r="E36" s="125"/>
      <c r="F36" s="125"/>
      <c r="G36" s="125"/>
    </row>
  </sheetData>
  <sheetProtection algorithmName="SHA-512" hashValue="v+DPnN5yMSueIdgPOGIE4fdVPD3HVNc0mRLRwul7VRrRj8Wkg7TDPp07PkPofh/z8RVEBE9hBqk+qzxkUt6xiA==" saltValue="lhRZVUMS5lJN+2jL/+Jhug==" spinCount="100000" sheet="1" objects="1" scenarios="1"/>
  <mergeCells count="5">
    <mergeCell ref="C5:G5"/>
    <mergeCell ref="C6:G6"/>
    <mergeCell ref="C4:G4"/>
    <mergeCell ref="C35:G35"/>
    <mergeCell ref="C36:G36"/>
  </mergeCells>
  <phoneticPr fontId="19" type="noConversion"/>
  <pageMargins left="0.70866141732283472" right="0.70866141732283472" top="0.74803149606299213" bottom="0.74803149606299213" header="0.31496062992125984" footer="0.31496062992125984"/>
  <pageSetup paperSize="9" orientation="portrait" horizontalDpi="4294967293" r:id="rId1"/>
  <headerFooter alignWithMargins="0">
    <oddHeader>&amp;L&amp;F&amp;R&amp;A</oddHead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C19D-2464-4D1D-9691-4FC2B7A5DA7C}">
  <sheetPr codeName="List20"/>
  <dimension ref="A1:F20"/>
  <sheetViews>
    <sheetView zoomScale="142" zoomScaleNormal="142" workbookViewId="0">
      <selection activeCell="I8" sqref="I8"/>
    </sheetView>
  </sheetViews>
  <sheetFormatPr defaultRowHeight="12.75" x14ac:dyDescent="0.2"/>
  <cols>
    <col min="1" max="1" width="4.5" style="1" customWidth="1"/>
    <col min="2" max="2" width="35.125" style="2" customWidth="1"/>
    <col min="3" max="3" width="5" style="3" customWidth="1"/>
    <col min="4" max="4" width="7.375" style="4" customWidth="1"/>
    <col min="5" max="5" width="10.375" style="4" customWidth="1"/>
    <col min="6" max="6" width="12.125" style="5" customWidth="1"/>
    <col min="7" max="16384" width="9" style="2"/>
  </cols>
  <sheetData>
    <row r="1" spans="1:6" ht="15.75" x14ac:dyDescent="0.25">
      <c r="A1" s="7" t="s">
        <v>149</v>
      </c>
      <c r="B1" s="7" t="s">
        <v>294</v>
      </c>
    </row>
    <row r="2" spans="1:6" ht="15.75" x14ac:dyDescent="0.25">
      <c r="A2" s="7"/>
      <c r="B2" s="7"/>
    </row>
    <row r="3" spans="1:6" ht="25.5" x14ac:dyDescent="0.2">
      <c r="A3" s="8" t="s">
        <v>2</v>
      </c>
      <c r="B3" s="9" t="s">
        <v>3</v>
      </c>
      <c r="C3" s="16" t="s">
        <v>4</v>
      </c>
      <c r="D3" s="16" t="s">
        <v>5</v>
      </c>
      <c r="E3" s="110" t="s">
        <v>216</v>
      </c>
      <c r="F3" s="110" t="s">
        <v>6</v>
      </c>
    </row>
    <row r="4" spans="1:6" ht="14.25" x14ac:dyDescent="0.2">
      <c r="A4" s="66"/>
      <c r="B4" s="67"/>
      <c r="C4" s="68"/>
      <c r="D4" s="69"/>
      <c r="E4" s="69"/>
      <c r="F4" s="70"/>
    </row>
    <row r="5" spans="1:6" ht="25.5" x14ac:dyDescent="0.2">
      <c r="A5" s="10" t="s">
        <v>169</v>
      </c>
      <c r="B5" s="118" t="s">
        <v>318</v>
      </c>
      <c r="C5" s="2"/>
      <c r="D5" s="2"/>
    </row>
    <row r="6" spans="1:6" x14ac:dyDescent="0.2">
      <c r="A6" s="10"/>
      <c r="B6" s="113" t="s">
        <v>319</v>
      </c>
      <c r="C6" s="104" t="s">
        <v>84</v>
      </c>
      <c r="D6" s="4">
        <v>85</v>
      </c>
      <c r="E6" s="41"/>
      <c r="F6" s="4">
        <f>SUM(D6*E6)</f>
        <v>0</v>
      </c>
    </row>
    <row r="7" spans="1:6" x14ac:dyDescent="0.2">
      <c r="A7" s="10"/>
      <c r="B7" s="118"/>
    </row>
    <row r="8" spans="1:6" ht="51.75" customHeight="1" x14ac:dyDescent="0.2">
      <c r="A8" s="10" t="s">
        <v>170</v>
      </c>
      <c r="B8" s="113" t="s">
        <v>367</v>
      </c>
      <c r="C8" s="3" t="s">
        <v>81</v>
      </c>
      <c r="D8" s="4">
        <v>1</v>
      </c>
      <c r="E8" s="41"/>
      <c r="F8" s="4">
        <f>SUM(D8*E8)</f>
        <v>0</v>
      </c>
    </row>
    <row r="9" spans="1:6" x14ac:dyDescent="0.2">
      <c r="B9" s="42"/>
    </row>
    <row r="10" spans="1:6" ht="63.75" x14ac:dyDescent="0.2">
      <c r="A10" s="10" t="s">
        <v>171</v>
      </c>
      <c r="B10" s="95" t="s">
        <v>280</v>
      </c>
      <c r="C10" s="3" t="s">
        <v>81</v>
      </c>
      <c r="D10" s="4">
        <v>1</v>
      </c>
      <c r="E10" s="41"/>
      <c r="F10" s="4">
        <f>SUM(D10*E10)</f>
        <v>0</v>
      </c>
    </row>
    <row r="11" spans="1:6" ht="15.75" customHeight="1" x14ac:dyDescent="0.3">
      <c r="A11" s="10"/>
      <c r="B11" s="43"/>
    </row>
    <row r="12" spans="1:6" ht="51" x14ac:dyDescent="0.2">
      <c r="A12" s="10" t="s">
        <v>172</v>
      </c>
      <c r="B12" s="95" t="s">
        <v>368</v>
      </c>
      <c r="C12" s="3" t="s">
        <v>81</v>
      </c>
      <c r="D12" s="4">
        <v>1</v>
      </c>
      <c r="E12" s="41"/>
      <c r="F12" s="4">
        <f>SUM(D12*E12)</f>
        <v>0</v>
      </c>
    </row>
    <row r="13" spans="1:6" x14ac:dyDescent="0.2">
      <c r="A13" s="10"/>
      <c r="B13" s="118"/>
      <c r="F13" s="58"/>
    </row>
    <row r="14" spans="1:6" ht="15.75" x14ac:dyDescent="0.25">
      <c r="A14" s="8"/>
      <c r="B14" s="79" t="s">
        <v>142</v>
      </c>
      <c r="C14" s="11"/>
      <c r="D14" s="12"/>
      <c r="E14" s="13"/>
      <c r="F14" s="73">
        <f>SUM(F6:F13)</f>
        <v>0</v>
      </c>
    </row>
    <row r="15" spans="1:6" x14ac:dyDescent="0.2">
      <c r="B15" s="121"/>
      <c r="F15" s="24"/>
    </row>
    <row r="16" spans="1:6" x14ac:dyDescent="0.2">
      <c r="B16" s="2" t="s">
        <v>33</v>
      </c>
      <c r="F16" s="24"/>
    </row>
    <row r="17" spans="2:6" ht="31.5" customHeight="1" x14ac:dyDescent="0.2">
      <c r="B17" s="126" t="s">
        <v>212</v>
      </c>
      <c r="C17" s="136"/>
      <c r="D17" s="136"/>
      <c r="E17" s="136"/>
      <c r="F17" s="136"/>
    </row>
    <row r="18" spans="2:6" x14ac:dyDescent="0.2">
      <c r="B18" s="121"/>
      <c r="F18" s="24"/>
    </row>
    <row r="19" spans="2:6" x14ac:dyDescent="0.2">
      <c r="B19" s="121"/>
      <c r="F19" s="24"/>
    </row>
    <row r="20" spans="2:6" x14ac:dyDescent="0.2">
      <c r="B20" s="121"/>
      <c r="F20" s="24"/>
    </row>
  </sheetData>
  <sheetProtection algorithmName="SHA-512" hashValue="DS04LoxjmZhIkALwHcY7oQSJOGgB8uDKkUbOd2j4Yn4qR02acX/YRfNeUArsIPEVmdtC6bJoFvkkcDWVoeeXaA==" saltValue="p/oxbTqh3MbvTbiBtm0nNw==" spinCount="100000" sheet="1" objects="1" scenarios="1"/>
  <mergeCells count="1">
    <mergeCell ref="B17:F17"/>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3DFA-1B0B-477E-BF8D-166AD0B62BBC}">
  <sheetPr codeName="List21"/>
  <dimension ref="A1:F9"/>
  <sheetViews>
    <sheetView zoomScale="130" zoomScaleNormal="130" workbookViewId="0">
      <selection activeCell="F12" sqref="F12"/>
    </sheetView>
  </sheetViews>
  <sheetFormatPr defaultRowHeight="12.75" x14ac:dyDescent="0.2"/>
  <cols>
    <col min="1" max="1" width="5.125" style="1" customWidth="1"/>
    <col min="2" max="2" width="31.75" style="2" customWidth="1"/>
    <col min="3" max="3" width="6.5" style="3" customWidth="1"/>
    <col min="4" max="4" width="7.625" style="4" customWidth="1"/>
    <col min="5" max="5" width="9.375" style="4" customWidth="1"/>
    <col min="6" max="6" width="14.25" style="5" customWidth="1"/>
    <col min="7" max="16384" width="9" style="2"/>
  </cols>
  <sheetData>
    <row r="1" spans="1:6" ht="15.75" x14ac:dyDescent="0.25">
      <c r="A1" s="6" t="s">
        <v>146</v>
      </c>
      <c r="B1" s="7" t="s">
        <v>143</v>
      </c>
    </row>
    <row r="2" spans="1:6" ht="15.75" x14ac:dyDescent="0.25">
      <c r="A2" s="6"/>
      <c r="B2" s="7"/>
    </row>
    <row r="3" spans="1:6" s="37" customFormat="1" ht="25.5" x14ac:dyDescent="0.2">
      <c r="A3" s="8" t="s">
        <v>2</v>
      </c>
      <c r="B3" s="9" t="s">
        <v>3</v>
      </c>
      <c r="C3" s="9" t="s">
        <v>4</v>
      </c>
      <c r="D3" s="16" t="s">
        <v>5</v>
      </c>
      <c r="E3" s="110" t="s">
        <v>216</v>
      </c>
      <c r="F3" s="110" t="s">
        <v>6</v>
      </c>
    </row>
    <row r="4" spans="1:6" x14ac:dyDescent="0.2">
      <c r="F4" s="5" t="s">
        <v>13</v>
      </c>
    </row>
    <row r="5" spans="1:6" x14ac:dyDescent="0.2">
      <c r="A5" s="10" t="s">
        <v>175</v>
      </c>
      <c r="B5" s="118" t="s">
        <v>144</v>
      </c>
      <c r="C5" s="71" t="s">
        <v>141</v>
      </c>
      <c r="D5" s="71">
        <v>0.05</v>
      </c>
      <c r="E5" s="4">
        <f>SUM('1-Pripravljalna dela'!F28+'2-Zemeljska dela'!G45+'3-Betonska dela'!G45+'4-Zidarska dela'!G43+'5-Tesarska-suhomont.dela'!F27+'6-Montažna dela'!F30+'7-Kleparska dela '!F24+'8-Ključavničarska dela'!F26+'9-Okna vrata'!F40+'10-Tlakarska dela'!F16+'11-keramičarska dela'!F14+'12-Slikoplesk. dela'!F17+'13-Fasaderska dela'!F17+'14-zunanja ureditev'!G31+'15-razna dela'!F14)</f>
        <v>0</v>
      </c>
      <c r="F5" s="4">
        <f>SUM(D5*E5)</f>
        <v>0</v>
      </c>
    </row>
    <row r="6" spans="1:6" ht="15" thickBot="1" x14ac:dyDescent="0.25">
      <c r="A6" s="10"/>
      <c r="B6" s="113"/>
      <c r="E6"/>
      <c r="F6" s="4"/>
    </row>
    <row r="7" spans="1:6" ht="16.5" thickBot="1" x14ac:dyDescent="0.3">
      <c r="A7" s="80"/>
      <c r="B7" s="79" t="s">
        <v>145</v>
      </c>
      <c r="C7" s="11"/>
      <c r="D7" s="65"/>
      <c r="E7" s="12"/>
      <c r="F7" s="72">
        <f>SUM(F5:F6)</f>
        <v>0</v>
      </c>
    </row>
    <row r="8" spans="1:6" ht="14.25" x14ac:dyDescent="0.2">
      <c r="A8" s="10"/>
      <c r="B8" s="113"/>
      <c r="E8"/>
      <c r="F8" s="4"/>
    </row>
    <row r="9" spans="1:6" ht="14.25" x14ac:dyDescent="0.2">
      <c r="A9" s="10"/>
      <c r="B9" s="118"/>
      <c r="E9"/>
    </row>
  </sheetData>
  <sheetProtection algorithmName="SHA-512" hashValue="9v7vX0XpgR/Bc5RNjcxKeMXAZinoCGlxcieo/cEJtxbZRof4Byr4R8Q7OL2WEfNzd9e6xQNuHjjLRjXIvIy4rg==" saltValue="E7jrEORPz3YOiVfEYvN97A==" spinCount="100000" sheet="1" objects="1" scenarios="1"/>
  <pageMargins left="0.98425196850393704" right="0.59055118110236227"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C7A9-9F95-4C48-BA14-4A5BF66B3D76}">
  <sheetPr codeName="List22"/>
  <dimension ref="A1:F33"/>
  <sheetViews>
    <sheetView workbookViewId="0">
      <selection activeCell="I14" sqref="I14"/>
    </sheetView>
  </sheetViews>
  <sheetFormatPr defaultRowHeight="12.75" x14ac:dyDescent="0.2"/>
  <cols>
    <col min="1" max="1" width="4.5" style="1" customWidth="1"/>
    <col min="2" max="2" width="42.125" style="2" customWidth="1"/>
    <col min="3" max="3" width="2.125" style="3" customWidth="1"/>
    <col min="4" max="4" width="2.25" style="2" customWidth="1"/>
    <col min="5" max="5" width="4.25" style="4" customWidth="1"/>
    <col min="6" max="6" width="19.75" style="5" customWidth="1"/>
    <col min="7" max="10" width="9" style="2"/>
    <col min="11" max="11" width="9" style="2" customWidth="1"/>
    <col min="12" max="16384" width="9" style="2"/>
  </cols>
  <sheetData>
    <row r="1" spans="1:6" ht="18" x14ac:dyDescent="0.25">
      <c r="A1" s="44" t="s">
        <v>421</v>
      </c>
      <c r="B1" s="44" t="s">
        <v>147</v>
      </c>
    </row>
    <row r="2" spans="1:6" x14ac:dyDescent="0.2">
      <c r="B2" s="25"/>
    </row>
    <row r="3" spans="1:6" ht="18" x14ac:dyDescent="0.25">
      <c r="A3" s="45" t="s">
        <v>0</v>
      </c>
      <c r="B3" s="46" t="str">
        <f>+'1-Pripravljalna dela'!A1:B1</f>
        <v>Pripravljalna dela:</v>
      </c>
      <c r="F3" s="60">
        <f>'1-Pripravljalna dela'!F28</f>
        <v>0</v>
      </c>
    </row>
    <row r="4" spans="1:6" ht="18" x14ac:dyDescent="0.25">
      <c r="A4" s="45" t="str">
        <f>+'2-Zemeljska dela'!A1</f>
        <v>2.</v>
      </c>
      <c r="B4" s="47" t="str">
        <f>+'2-Zemeljska dela'!B1</f>
        <v>Zemeljska dela:</v>
      </c>
      <c r="F4" s="60">
        <f>'2-Zemeljska dela'!G45</f>
        <v>0</v>
      </c>
    </row>
    <row r="5" spans="1:6" ht="18" x14ac:dyDescent="0.25">
      <c r="A5" s="45" t="str">
        <f>+'3-Betonska dela'!A1</f>
        <v>3.</v>
      </c>
      <c r="B5" s="47" t="str">
        <f>+'3-Betonska dela'!B1</f>
        <v>Betonska dela:</v>
      </c>
      <c r="F5" s="60">
        <f>'3-Betonska dela'!G45</f>
        <v>0</v>
      </c>
    </row>
    <row r="6" spans="1:6" s="37" customFormat="1" ht="18" x14ac:dyDescent="0.25">
      <c r="A6" s="45" t="str">
        <f>+'4-Zidarska dela'!A1</f>
        <v>4.</v>
      </c>
      <c r="B6" s="47" t="str">
        <f>+'4-Zidarska dela'!B1</f>
        <v>Zidarska dela:</v>
      </c>
      <c r="C6" s="3"/>
      <c r="E6" s="38"/>
      <c r="F6" s="60">
        <f>'4-Zidarska dela'!G43</f>
        <v>0</v>
      </c>
    </row>
    <row r="7" spans="1:6" ht="16.899999999999999" customHeight="1" x14ac:dyDescent="0.25">
      <c r="A7" s="45" t="str">
        <f>+'5-Tesarska-suhomont.dela'!A1</f>
        <v>5.</v>
      </c>
      <c r="B7" s="28" t="str">
        <f>+'5-Tesarska-suhomont.dela'!B1</f>
        <v>Tesarska dela, suhomontažna dela:</v>
      </c>
      <c r="D7" s="21"/>
      <c r="F7" s="60">
        <f>'5-Tesarska-suhomont.dela'!F27</f>
        <v>0</v>
      </c>
    </row>
    <row r="8" spans="1:6" ht="19.350000000000001" customHeight="1" x14ac:dyDescent="0.25">
      <c r="A8" s="45" t="str">
        <f>+'6-Montažna dela'!A1</f>
        <v>6.</v>
      </c>
      <c r="B8" s="28" t="str">
        <f>+'6-Montažna dela'!B1</f>
        <v xml:space="preserve">Montažne steni </v>
      </c>
      <c r="D8" s="21"/>
      <c r="F8" s="60">
        <f>'6-Montažna dela'!F30</f>
        <v>0</v>
      </c>
    </row>
    <row r="9" spans="1:6" ht="18" x14ac:dyDescent="0.25">
      <c r="A9" s="45" t="str">
        <f>+'7-Kleparska dela '!A1</f>
        <v>7.</v>
      </c>
      <c r="B9" s="28" t="str">
        <f>+'7-Kleparska dela '!B1</f>
        <v>Kleparska dela:</v>
      </c>
      <c r="D9" s="21"/>
      <c r="F9" s="60">
        <f>'7-Kleparska dela '!F24</f>
        <v>0</v>
      </c>
    </row>
    <row r="10" spans="1:6" ht="18" x14ac:dyDescent="0.25">
      <c r="A10" s="45" t="str">
        <f t="array" ref="A10:B10">+'8-Ključavničarska dela'!A1:B1</f>
        <v>8.</v>
      </c>
      <c r="B10" s="28" t="str">
        <v>Ključavničarska dela</v>
      </c>
      <c r="C10" s="59"/>
      <c r="D10" s="21"/>
      <c r="F10" s="60">
        <f>'8-Ključavničarska dela'!F26</f>
        <v>0</v>
      </c>
    </row>
    <row r="11" spans="1:6" ht="18" x14ac:dyDescent="0.25">
      <c r="A11" s="45" t="str">
        <f>+'9-Okna vrata'!A1</f>
        <v>9.</v>
      </c>
      <c r="B11" s="28" t="str">
        <f>+'9-Okna vrata'!B1</f>
        <v>Okna, vrata:</v>
      </c>
      <c r="D11" s="21"/>
      <c r="F11" s="60">
        <f>'9-Okna vrata'!F40</f>
        <v>0</v>
      </c>
    </row>
    <row r="12" spans="1:6" ht="20.25" customHeight="1" x14ac:dyDescent="0.25">
      <c r="A12" s="45" t="str">
        <f>+'10-Tlakarska dela'!A1</f>
        <v>10.</v>
      </c>
      <c r="B12" s="28" t="str">
        <f>+'10-Tlakarska dela'!B1</f>
        <v>Tlakarska in asfalterska dela:</v>
      </c>
      <c r="D12" s="21"/>
      <c r="F12" s="60">
        <f>'10-Tlakarska dela'!F16</f>
        <v>0</v>
      </c>
    </row>
    <row r="13" spans="1:6" ht="18.75" customHeight="1" x14ac:dyDescent="0.25">
      <c r="A13" s="45" t="str">
        <f>+'11-keramičarska dela'!A1</f>
        <v>11.</v>
      </c>
      <c r="B13" s="28" t="str">
        <f>+'11-keramičarska dela'!B1</f>
        <v>Keramičarska dela</v>
      </c>
      <c r="D13" s="21"/>
      <c r="F13" s="60">
        <f>'11-keramičarska dela'!F14</f>
        <v>0</v>
      </c>
    </row>
    <row r="14" spans="1:6" ht="18" x14ac:dyDescent="0.25">
      <c r="A14" s="45">
        <f>+'12-Slikoplesk. dela'!A1</f>
        <v>12</v>
      </c>
      <c r="B14" s="28" t="str">
        <f>+'12-Slikoplesk. dela'!B1</f>
        <v>Slikopleskarska dela:</v>
      </c>
      <c r="D14" s="21"/>
      <c r="F14" s="60">
        <f>'12-Slikoplesk. dela'!F17</f>
        <v>0</v>
      </c>
    </row>
    <row r="15" spans="1:6" ht="18" x14ac:dyDescent="0.25">
      <c r="A15" s="45" t="s">
        <v>148</v>
      </c>
      <c r="B15" s="47" t="str">
        <f>+'13-Fasaderska dela'!B1</f>
        <v>Fasaderska dela:</v>
      </c>
      <c r="F15" s="60">
        <f>'13-Fasaderska dela'!F17</f>
        <v>0</v>
      </c>
    </row>
    <row r="16" spans="1:6" ht="18" x14ac:dyDescent="0.25">
      <c r="A16" s="45" t="s">
        <v>135</v>
      </c>
      <c r="B16" s="47" t="str">
        <f>('14-zunanja ureditev'!C1)</f>
        <v>Zunanja ureditev:</v>
      </c>
      <c r="F16" s="60">
        <f>'14-zunanja ureditev'!G31</f>
        <v>0</v>
      </c>
    </row>
    <row r="17" spans="1:6" ht="18" x14ac:dyDescent="0.25">
      <c r="A17" s="45" t="s">
        <v>149</v>
      </c>
      <c r="B17" s="47" t="str">
        <f>+'15-razna dela'!B1</f>
        <v>Razna dela:</v>
      </c>
      <c r="F17" s="60">
        <f>'15-razna dela'!F14</f>
        <v>0</v>
      </c>
    </row>
    <row r="18" spans="1:6" ht="18" x14ac:dyDescent="0.25">
      <c r="A18" s="45" t="s">
        <v>146</v>
      </c>
      <c r="B18" s="47" t="str">
        <f>+'16-Nepredvidena dela'!B1</f>
        <v>Nepredvidena dela:</v>
      </c>
      <c r="F18" s="60">
        <f>'16-Nepredvidena dela'!F7</f>
        <v>0</v>
      </c>
    </row>
    <row r="19" spans="1:6" ht="18" x14ac:dyDescent="0.25">
      <c r="B19" s="48" t="s">
        <v>150</v>
      </c>
      <c r="C19" s="49"/>
      <c r="D19" s="50"/>
      <c r="E19" s="51"/>
      <c r="F19" s="61">
        <f>SUM(F3:F18)</f>
        <v>0</v>
      </c>
    </row>
    <row r="20" spans="1:6" ht="18" x14ac:dyDescent="0.25">
      <c r="B20" s="28"/>
      <c r="D20" s="21"/>
      <c r="F20" s="60"/>
    </row>
    <row r="21" spans="1:6" ht="15.75" x14ac:dyDescent="0.25">
      <c r="B21" s="15" t="s">
        <v>151</v>
      </c>
      <c r="F21" s="60">
        <f>SUM(F19*0.22)</f>
        <v>0</v>
      </c>
    </row>
    <row r="22" spans="1:6" ht="18" x14ac:dyDescent="0.25">
      <c r="B22" s="28"/>
      <c r="F22" s="60"/>
    </row>
    <row r="23" spans="1:6" ht="18" x14ac:dyDescent="0.25">
      <c r="B23" s="48" t="s">
        <v>165</v>
      </c>
      <c r="C23" s="49"/>
      <c r="D23" s="52"/>
      <c r="E23" s="51"/>
      <c r="F23" s="61">
        <f>SUM(F19+F21)</f>
        <v>0</v>
      </c>
    </row>
    <row r="24" spans="1:6" ht="18.75" x14ac:dyDescent="0.3">
      <c r="B24" s="28"/>
      <c r="F24" s="53"/>
    </row>
    <row r="25" spans="1:6" ht="18.75" x14ac:dyDescent="0.3">
      <c r="B25" s="28"/>
      <c r="F25" s="53"/>
    </row>
    <row r="26" spans="1:6" ht="18.75" x14ac:dyDescent="0.3">
      <c r="B26" s="28"/>
      <c r="F26" s="53"/>
    </row>
    <row r="27" spans="1:6" x14ac:dyDescent="0.2">
      <c r="B27" s="54" t="s">
        <v>33</v>
      </c>
    </row>
    <row r="28" spans="1:6" ht="15.75" customHeight="1" x14ac:dyDescent="0.2">
      <c r="A28" s="1" t="s">
        <v>108</v>
      </c>
      <c r="B28" s="2" t="s">
        <v>152</v>
      </c>
    </row>
    <row r="29" spans="1:6" ht="12.75" customHeight="1" x14ac:dyDescent="0.2">
      <c r="A29" s="1" t="s">
        <v>108</v>
      </c>
      <c r="B29" s="126" t="s">
        <v>176</v>
      </c>
      <c r="C29" s="126"/>
      <c r="D29" s="126"/>
      <c r="E29" s="126"/>
      <c r="F29" s="126"/>
    </row>
    <row r="30" spans="1:6" x14ac:dyDescent="0.2">
      <c r="B30" s="2" t="s">
        <v>153</v>
      </c>
      <c r="C30" s="32"/>
      <c r="D30" s="25"/>
      <c r="E30" s="33"/>
      <c r="F30" s="24"/>
    </row>
    <row r="33" spans="2:2" x14ac:dyDescent="0.2">
      <c r="B33" s="25"/>
    </row>
  </sheetData>
  <sheetProtection algorithmName="SHA-512" hashValue="undhdg2AYIQBZiui+frmak8mJwedm22UwfYPOYZKhw+Kx/HRm/1443RM+IoGrjxK2tQritISep9CPS7Z8m76rA==" saltValue="l75YGyuldn6OqleAbvGfAA==" spinCount="100000" sheet="1" objects="1" scenarios="1"/>
  <mergeCells count="1">
    <mergeCell ref="B29:F29"/>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7ABC-7677-4222-8C14-C2B638DD39B2}">
  <sheetPr codeName="List3"/>
  <dimension ref="A1:J51"/>
  <sheetViews>
    <sheetView topLeftCell="A31" zoomScaleNormal="100" workbookViewId="0">
      <selection activeCell="A31" sqref="A1:XFD1048576"/>
    </sheetView>
  </sheetViews>
  <sheetFormatPr defaultRowHeight="12.75" x14ac:dyDescent="0.2"/>
  <cols>
    <col min="1" max="1" width="4.5" style="181" customWidth="1"/>
    <col min="2" max="2" width="35.125" style="142" customWidth="1"/>
    <col min="3" max="3" width="3.625" style="142" customWidth="1"/>
    <col min="4" max="4" width="4.875" style="139" customWidth="1"/>
    <col min="5" max="5" width="7.875" style="140" customWidth="1"/>
    <col min="6" max="6" width="9.75" style="140" customWidth="1"/>
    <col min="7" max="7" width="10.125" style="141" customWidth="1"/>
    <col min="8" max="16384" width="9" style="142"/>
  </cols>
  <sheetData>
    <row r="1" spans="1:8" ht="15.75" x14ac:dyDescent="0.25">
      <c r="A1" s="138" t="s">
        <v>14</v>
      </c>
      <c r="B1" s="138" t="s">
        <v>15</v>
      </c>
      <c r="C1" s="138"/>
    </row>
    <row r="2" spans="1:8" ht="15.75" x14ac:dyDescent="0.25">
      <c r="A2" s="138"/>
      <c r="B2" s="138"/>
      <c r="C2" s="138"/>
    </row>
    <row r="3" spans="1:8" ht="12.75" customHeight="1" x14ac:dyDescent="0.2">
      <c r="B3" s="183" t="s">
        <v>16</v>
      </c>
      <c r="C3" s="183"/>
      <c r="D3" s="183"/>
      <c r="E3" s="183"/>
      <c r="F3" s="183"/>
      <c r="G3" s="183"/>
    </row>
    <row r="4" spans="1:8" ht="27" customHeight="1" x14ac:dyDescent="0.2">
      <c r="B4" s="184" t="s">
        <v>17</v>
      </c>
      <c r="C4" s="184"/>
      <c r="D4" s="184"/>
      <c r="E4" s="184"/>
      <c r="F4" s="184"/>
      <c r="G4" s="184"/>
    </row>
    <row r="5" spans="1:8" ht="36.75" customHeight="1" x14ac:dyDescent="0.2">
      <c r="B5" s="184" t="s">
        <v>18</v>
      </c>
      <c r="C5" s="184"/>
      <c r="D5" s="184"/>
      <c r="E5" s="184"/>
      <c r="F5" s="184"/>
      <c r="G5" s="184"/>
    </row>
    <row r="6" spans="1:8" ht="27.75" customHeight="1" x14ac:dyDescent="0.2">
      <c r="B6" s="184" t="s">
        <v>19</v>
      </c>
      <c r="C6" s="184"/>
      <c r="D6" s="184"/>
      <c r="E6" s="184"/>
      <c r="F6" s="184"/>
      <c r="G6" s="184"/>
    </row>
    <row r="7" spans="1:8" ht="27" customHeight="1" x14ac:dyDescent="0.2">
      <c r="B7" s="184" t="s">
        <v>20</v>
      </c>
      <c r="C7" s="184"/>
      <c r="D7" s="184"/>
      <c r="E7" s="184"/>
      <c r="F7" s="184"/>
      <c r="G7" s="184"/>
    </row>
    <row r="8" spans="1:8" ht="27" customHeight="1" x14ac:dyDescent="0.2">
      <c r="B8" s="184" t="s">
        <v>21</v>
      </c>
      <c r="C8" s="184"/>
      <c r="D8" s="184"/>
      <c r="E8" s="184"/>
      <c r="F8" s="184"/>
      <c r="G8" s="184"/>
    </row>
    <row r="9" spans="1:8" ht="24.75" customHeight="1" x14ac:dyDescent="0.2">
      <c r="B9" s="184" t="s">
        <v>22</v>
      </c>
      <c r="C9" s="184"/>
      <c r="D9" s="184"/>
      <c r="E9" s="184"/>
      <c r="F9" s="184"/>
      <c r="G9" s="184"/>
      <c r="H9" s="185"/>
    </row>
    <row r="10" spans="1:8" ht="12.75" customHeight="1" x14ac:dyDescent="0.2">
      <c r="B10" s="184" t="s">
        <v>23</v>
      </c>
      <c r="C10" s="184"/>
      <c r="D10" s="184"/>
      <c r="E10" s="184"/>
      <c r="F10" s="184"/>
      <c r="G10" s="184"/>
      <c r="H10" s="185"/>
    </row>
    <row r="11" spans="1:8" ht="12.75" customHeight="1" x14ac:dyDescent="0.2">
      <c r="B11" s="184" t="s">
        <v>24</v>
      </c>
      <c r="C11" s="184"/>
      <c r="D11" s="184"/>
      <c r="E11" s="184"/>
      <c r="F11" s="184"/>
      <c r="G11" s="184"/>
      <c r="H11" s="185"/>
    </row>
    <row r="12" spans="1:8" ht="12.75" customHeight="1" x14ac:dyDescent="0.2">
      <c r="B12" s="184" t="s">
        <v>25</v>
      </c>
      <c r="C12" s="184"/>
      <c r="D12" s="184"/>
      <c r="E12" s="184"/>
      <c r="F12" s="184"/>
      <c r="G12" s="184"/>
      <c r="H12" s="185"/>
    </row>
    <row r="13" spans="1:8" ht="12.75" customHeight="1" x14ac:dyDescent="0.2">
      <c r="B13" s="186"/>
      <c r="C13" s="186"/>
      <c r="D13" s="186"/>
      <c r="E13" s="186"/>
      <c r="F13" s="186"/>
      <c r="G13" s="186"/>
      <c r="H13" s="185"/>
    </row>
    <row r="14" spans="1:8" ht="14.25" customHeight="1" x14ac:dyDescent="0.2">
      <c r="A14" s="185"/>
      <c r="B14" s="185"/>
      <c r="C14" s="185"/>
      <c r="D14" s="185"/>
      <c r="E14" s="185"/>
      <c r="F14" s="185"/>
      <c r="G14" s="185"/>
      <c r="H14" s="185"/>
    </row>
    <row r="15" spans="1:8" ht="25.5" x14ac:dyDescent="0.2">
      <c r="A15" s="150" t="s">
        <v>2</v>
      </c>
      <c r="B15" s="151" t="s">
        <v>3</v>
      </c>
      <c r="C15" s="187" t="s">
        <v>4</v>
      </c>
      <c r="D15" s="188"/>
      <c r="E15" s="189" t="s">
        <v>5</v>
      </c>
      <c r="F15" s="154" t="s">
        <v>216</v>
      </c>
      <c r="G15" s="154" t="s">
        <v>6</v>
      </c>
      <c r="H15" s="185"/>
    </row>
    <row r="16" spans="1:8" ht="14.25" x14ac:dyDescent="0.2">
      <c r="A16" s="190"/>
      <c r="B16" s="191"/>
      <c r="C16" s="192"/>
      <c r="D16" s="193"/>
      <c r="E16" s="192"/>
      <c r="F16" s="192"/>
      <c r="G16" s="194"/>
      <c r="H16" s="185"/>
    </row>
    <row r="17" spans="1:10" ht="76.5" customHeight="1" x14ac:dyDescent="0.2">
      <c r="A17" s="155" t="s">
        <v>26</v>
      </c>
      <c r="B17" s="195" t="s">
        <v>229</v>
      </c>
      <c r="C17" s="196"/>
      <c r="E17" s="197"/>
      <c r="F17" s="159"/>
      <c r="G17" s="140"/>
      <c r="H17" s="185"/>
    </row>
    <row r="18" spans="1:10" ht="12.75" customHeight="1" x14ac:dyDescent="0.2">
      <c r="A18" s="155"/>
      <c r="B18" s="198" t="s">
        <v>155</v>
      </c>
      <c r="C18" s="185"/>
      <c r="D18" s="139" t="s">
        <v>27</v>
      </c>
      <c r="E18" s="140">
        <f>SUM(236*0.2)</f>
        <v>47.2</v>
      </c>
      <c r="F18" s="182"/>
      <c r="G18" s="140">
        <f>SUM(E18*F18)</f>
        <v>0</v>
      </c>
      <c r="H18" s="200"/>
    </row>
    <row r="19" spans="1:10" ht="51.75" customHeight="1" x14ac:dyDescent="0.2">
      <c r="A19" s="155"/>
      <c r="B19" s="201" t="s">
        <v>284</v>
      </c>
      <c r="C19" s="185"/>
      <c r="D19" s="139" t="s">
        <v>27</v>
      </c>
      <c r="E19" s="140">
        <f>SUM(128*0.2+17*0.2+7.2*0.2)</f>
        <v>30.44</v>
      </c>
      <c r="F19" s="182"/>
      <c r="G19" s="140">
        <f>SUM(E19*F19)</f>
        <v>0</v>
      </c>
    </row>
    <row r="20" spans="1:10" x14ac:dyDescent="0.2">
      <c r="A20" s="185"/>
      <c r="B20" s="185"/>
      <c r="C20" s="185"/>
      <c r="D20" s="185"/>
      <c r="E20" s="185"/>
      <c r="F20" s="199"/>
      <c r="G20" s="185"/>
      <c r="H20" s="140"/>
      <c r="I20" s="140"/>
      <c r="J20" s="197"/>
    </row>
    <row r="21" spans="1:10" ht="63.75" x14ac:dyDescent="0.2">
      <c r="A21" s="155" t="s">
        <v>225</v>
      </c>
      <c r="B21" s="195" t="s">
        <v>230</v>
      </c>
      <c r="C21" s="185"/>
      <c r="D21" s="185"/>
      <c r="E21" s="185"/>
      <c r="F21" s="199"/>
      <c r="G21" s="185"/>
      <c r="H21" s="185"/>
    </row>
    <row r="22" spans="1:10" x14ac:dyDescent="0.2">
      <c r="A22" s="185"/>
      <c r="B22" s="198" t="s">
        <v>419</v>
      </c>
      <c r="C22" s="185"/>
      <c r="D22" s="139" t="s">
        <v>206</v>
      </c>
      <c r="E22" s="140">
        <v>1</v>
      </c>
      <c r="F22" s="182"/>
      <c r="G22" s="140">
        <f>SUM(E22*F22)</f>
        <v>0</v>
      </c>
    </row>
    <row r="23" spans="1:10" x14ac:dyDescent="0.2">
      <c r="A23" s="185"/>
      <c r="B23" s="185"/>
      <c r="C23" s="185"/>
      <c r="D23" s="185"/>
      <c r="E23" s="185"/>
      <c r="F23" s="199"/>
      <c r="G23" s="185"/>
      <c r="H23" s="140"/>
      <c r="I23" s="140"/>
      <c r="J23" s="197"/>
    </row>
    <row r="24" spans="1:10" ht="78.75" customHeight="1" x14ac:dyDescent="0.2">
      <c r="A24" s="155" t="s">
        <v>157</v>
      </c>
      <c r="B24" s="195" t="s">
        <v>156</v>
      </c>
      <c r="C24" s="196"/>
      <c r="E24" s="202"/>
      <c r="F24" s="199"/>
      <c r="G24" s="185"/>
      <c r="H24" s="185"/>
    </row>
    <row r="25" spans="1:10" ht="38.65" customHeight="1" x14ac:dyDescent="0.2">
      <c r="A25" s="155"/>
      <c r="B25" s="203" t="s">
        <v>219</v>
      </c>
      <c r="C25" s="159"/>
      <c r="D25" s="139" t="s">
        <v>27</v>
      </c>
      <c r="E25" s="140">
        <v>197.6</v>
      </c>
      <c r="F25" s="182"/>
      <c r="G25" s="140">
        <f>SUM(E25*F25)</f>
        <v>0</v>
      </c>
      <c r="H25" s="185"/>
    </row>
    <row r="26" spans="1:10" ht="39.75" customHeight="1" x14ac:dyDescent="0.2">
      <c r="A26" s="155"/>
      <c r="B26" s="203" t="s">
        <v>221</v>
      </c>
      <c r="C26" s="159"/>
      <c r="D26" s="139" t="s">
        <v>27</v>
      </c>
      <c r="E26" s="140">
        <f>SUM(128*0.7+17*0.4)</f>
        <v>96.399999999999991</v>
      </c>
      <c r="F26" s="182"/>
      <c r="G26" s="140">
        <f>SUM(E26*F26)</f>
        <v>0</v>
      </c>
      <c r="H26" s="185"/>
    </row>
    <row r="27" spans="1:10" ht="43.5" customHeight="1" x14ac:dyDescent="0.2">
      <c r="A27" s="155"/>
      <c r="B27" s="203" t="s">
        <v>311</v>
      </c>
      <c r="C27" s="159"/>
      <c r="D27" s="139" t="s">
        <v>27</v>
      </c>
      <c r="E27" s="140">
        <f>SUM(5.3*0.6*0.5)</f>
        <v>1.5899999999999999</v>
      </c>
      <c r="F27" s="182"/>
      <c r="G27" s="140">
        <f>SUM(E27*F27)</f>
        <v>0</v>
      </c>
    </row>
    <row r="28" spans="1:10" ht="15" customHeight="1" x14ac:dyDescent="0.2">
      <c r="A28" s="155"/>
      <c r="B28" s="204"/>
      <c r="C28" s="204"/>
      <c r="F28" s="199"/>
      <c r="G28" s="185"/>
      <c r="H28" s="140"/>
      <c r="I28" s="140"/>
      <c r="J28" s="197"/>
    </row>
    <row r="29" spans="1:10" ht="114.75" x14ac:dyDescent="0.2">
      <c r="A29" s="155" t="s">
        <v>28</v>
      </c>
      <c r="B29" s="195" t="s">
        <v>312</v>
      </c>
      <c r="C29" s="204"/>
      <c r="E29" s="202"/>
      <c r="F29" s="199"/>
      <c r="G29" s="185"/>
      <c r="H29" s="185"/>
    </row>
    <row r="30" spans="1:10" ht="14.25" x14ac:dyDescent="0.2">
      <c r="A30" s="155"/>
      <c r="B30" s="203" t="s">
        <v>220</v>
      </c>
      <c r="C30" s="204"/>
      <c r="D30" s="139" t="s">
        <v>29</v>
      </c>
      <c r="E30" s="140">
        <v>193</v>
      </c>
      <c r="F30" s="182"/>
      <c r="G30" s="140">
        <f>SUM(E30*F30)</f>
        <v>0</v>
      </c>
    </row>
    <row r="31" spans="1:10" ht="25.5" x14ac:dyDescent="0.2">
      <c r="A31" s="155"/>
      <c r="B31" s="203" t="s">
        <v>222</v>
      </c>
      <c r="C31" s="159"/>
      <c r="D31" s="139" t="s">
        <v>29</v>
      </c>
      <c r="E31" s="140">
        <f>SUM(128+17)</f>
        <v>145</v>
      </c>
      <c r="F31" s="182"/>
      <c r="G31" s="140">
        <f>SUM(E31*F31)</f>
        <v>0</v>
      </c>
    </row>
    <row r="32" spans="1:10" x14ac:dyDescent="0.2">
      <c r="A32" s="155"/>
      <c r="B32" s="204"/>
      <c r="C32" s="204"/>
      <c r="F32" s="199"/>
    </row>
    <row r="33" spans="1:10" ht="102" x14ac:dyDescent="0.2">
      <c r="A33" s="155" t="s">
        <v>30</v>
      </c>
      <c r="B33" s="195" t="s">
        <v>416</v>
      </c>
      <c r="C33" s="195"/>
      <c r="E33" s="202"/>
      <c r="F33" s="199"/>
    </row>
    <row r="34" spans="1:10" ht="14.25" x14ac:dyDescent="0.2">
      <c r="A34" s="155"/>
      <c r="B34" s="203" t="s">
        <v>417</v>
      </c>
      <c r="C34" s="204"/>
      <c r="D34" s="139" t="s">
        <v>27</v>
      </c>
      <c r="E34" s="140">
        <f>SUM(176*0.6+54.5457)</f>
        <v>160.14569999999998</v>
      </c>
      <c r="F34" s="182"/>
      <c r="G34" s="140">
        <f>SUM(E34*F34)</f>
        <v>0</v>
      </c>
    </row>
    <row r="35" spans="1:10" ht="25.5" x14ac:dyDescent="0.2">
      <c r="A35" s="155"/>
      <c r="B35" s="203" t="s">
        <v>223</v>
      </c>
      <c r="C35" s="159"/>
      <c r="D35" s="139" t="s">
        <v>27</v>
      </c>
      <c r="E35" s="140">
        <f>SUM(128*0.4+17*0.4)</f>
        <v>58</v>
      </c>
      <c r="F35" s="182"/>
      <c r="G35" s="140">
        <f>SUM(E35*F35)</f>
        <v>0</v>
      </c>
    </row>
    <row r="36" spans="1:10" ht="54" customHeight="1" x14ac:dyDescent="0.2">
      <c r="A36" s="155"/>
      <c r="B36" s="203" t="s">
        <v>277</v>
      </c>
      <c r="C36" s="159"/>
      <c r="D36" s="139" t="s">
        <v>27</v>
      </c>
      <c r="E36" s="140">
        <f>SUM(5.3*1.9*1)</f>
        <v>10.069999999999999</v>
      </c>
      <c r="F36" s="182"/>
      <c r="G36" s="140">
        <f>SUM(E36*F36)</f>
        <v>0</v>
      </c>
    </row>
    <row r="37" spans="1:10" x14ac:dyDescent="0.2">
      <c r="A37" s="155"/>
      <c r="B37" s="204"/>
      <c r="C37" s="204"/>
      <c r="F37" s="199"/>
      <c r="H37" s="140"/>
      <c r="I37" s="140"/>
      <c r="J37" s="197"/>
    </row>
    <row r="38" spans="1:10" x14ac:dyDescent="0.2">
      <c r="A38" s="155"/>
      <c r="B38" s="204" t="s">
        <v>370</v>
      </c>
      <c r="C38" s="204"/>
      <c r="F38" s="199"/>
    </row>
    <row r="39" spans="1:10" ht="39" customHeight="1" x14ac:dyDescent="0.2">
      <c r="A39" s="205" t="s">
        <v>31</v>
      </c>
      <c r="B39" s="206" t="s">
        <v>396</v>
      </c>
      <c r="C39" s="207"/>
      <c r="D39" s="208"/>
      <c r="E39" s="197"/>
      <c r="F39" s="209"/>
      <c r="G39" s="140"/>
    </row>
    <row r="40" spans="1:10" x14ac:dyDescent="0.2">
      <c r="A40" s="155"/>
      <c r="B40" s="204"/>
      <c r="C40" s="204"/>
      <c r="F40" s="199"/>
    </row>
    <row r="41" spans="1:10" ht="49.5" customHeight="1" x14ac:dyDescent="0.2">
      <c r="A41" s="155" t="s">
        <v>420</v>
      </c>
      <c r="B41" s="204" t="s">
        <v>313</v>
      </c>
      <c r="C41" s="204"/>
      <c r="D41" s="139" t="s">
        <v>11</v>
      </c>
      <c r="E41" s="140">
        <v>1</v>
      </c>
      <c r="F41" s="182"/>
      <c r="G41" s="140">
        <f>SUM(E41*F41)</f>
        <v>0</v>
      </c>
    </row>
    <row r="42" spans="1:10" ht="16.5" customHeight="1" x14ac:dyDescent="0.2">
      <c r="A42" s="155"/>
      <c r="B42" s="204"/>
      <c r="C42" s="204"/>
      <c r="F42" s="199"/>
    </row>
    <row r="43" spans="1:10" ht="25.5" x14ac:dyDescent="0.2">
      <c r="A43" s="155" t="s">
        <v>192</v>
      </c>
      <c r="B43" s="204" t="s">
        <v>387</v>
      </c>
      <c r="C43" s="204"/>
      <c r="D43" s="139" t="s">
        <v>11</v>
      </c>
      <c r="E43" s="140">
        <v>1</v>
      </c>
      <c r="F43" s="182"/>
      <c r="G43" s="140">
        <f>SUM(E43*F43)</f>
        <v>0</v>
      </c>
      <c r="J43" s="140"/>
    </row>
    <row r="44" spans="1:10" x14ac:dyDescent="0.2">
      <c r="A44" s="155"/>
      <c r="B44" s="210"/>
      <c r="C44" s="210"/>
      <c r="D44" s="211"/>
      <c r="E44" s="212"/>
    </row>
    <row r="45" spans="1:10" ht="15.75" x14ac:dyDescent="0.25">
      <c r="A45" s="213"/>
      <c r="B45" s="214" t="s">
        <v>32</v>
      </c>
      <c r="C45" s="215"/>
      <c r="D45" s="216"/>
      <c r="E45" s="217"/>
      <c r="F45" s="172"/>
      <c r="G45" s="218">
        <f>SUM(G17:G44)</f>
        <v>0</v>
      </c>
    </row>
    <row r="47" spans="1:10" x14ac:dyDescent="0.2">
      <c r="B47" s="142" t="s">
        <v>33</v>
      </c>
    </row>
    <row r="48" spans="1:10" ht="25.9" customHeight="1" x14ac:dyDescent="0.2">
      <c r="B48" s="219" t="s">
        <v>193</v>
      </c>
      <c r="C48" s="219"/>
      <c r="D48" s="219"/>
      <c r="E48" s="219"/>
      <c r="F48" s="219"/>
      <c r="G48" s="219"/>
    </row>
    <row r="49" spans="2:7" ht="28.5" customHeight="1" x14ac:dyDescent="0.2">
      <c r="B49" s="220" t="s">
        <v>395</v>
      </c>
      <c r="C49" s="221"/>
      <c r="D49" s="221"/>
      <c r="E49" s="221"/>
      <c r="F49" s="221"/>
      <c r="G49" s="221"/>
    </row>
    <row r="50" spans="2:7" ht="41.25" customHeight="1" x14ac:dyDescent="0.2">
      <c r="B50" s="222" t="s">
        <v>218</v>
      </c>
      <c r="C50" s="223"/>
      <c r="D50" s="223"/>
      <c r="E50" s="223"/>
      <c r="F50" s="223"/>
      <c r="G50" s="223"/>
    </row>
    <row r="51" spans="2:7" ht="14.25" x14ac:dyDescent="0.2">
      <c r="B51" s="224" t="s">
        <v>207</v>
      </c>
      <c r="C51" s="223"/>
      <c r="D51" s="223"/>
      <c r="E51" s="223"/>
      <c r="F51" s="223"/>
      <c r="G51" s="223"/>
    </row>
  </sheetData>
  <sheetProtection algorithmName="SHA-512" hashValue="CjZG9yVyYRN/5She+2YrXSpY3KBxJOWhMZ9MGBj1Dc9n6bxh55DI4TmWmIWf2HD6maqubeRES/Y+8D+QtP33ew==" saltValue="n6MGTAVwRyBB0nucZkESpw==" spinCount="100000" sheet="1" objects="1" scenarios="1"/>
  <mergeCells count="15">
    <mergeCell ref="B51:G51"/>
    <mergeCell ref="B50:G50"/>
    <mergeCell ref="B3:G3"/>
    <mergeCell ref="B4:G4"/>
    <mergeCell ref="B5:G5"/>
    <mergeCell ref="B6:G6"/>
    <mergeCell ref="B7:G7"/>
    <mergeCell ref="B8:G8"/>
    <mergeCell ref="B49:G49"/>
    <mergeCell ref="B9:G9"/>
    <mergeCell ref="B10:G10"/>
    <mergeCell ref="B11:G11"/>
    <mergeCell ref="B12:G12"/>
    <mergeCell ref="C15:D15"/>
    <mergeCell ref="B48:G48"/>
  </mergeCells>
  <phoneticPr fontId="19" type="noConversion"/>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37B9C-5413-4D09-B77A-9FB8C37FCB96}">
  <sheetPr codeName="List4"/>
  <dimension ref="A1:N55"/>
  <sheetViews>
    <sheetView topLeftCell="A37" zoomScale="118" zoomScaleNormal="118" workbookViewId="0">
      <selection activeCell="A37" sqref="A1:XFD1048576"/>
    </sheetView>
  </sheetViews>
  <sheetFormatPr defaultRowHeight="12.75" x14ac:dyDescent="0.2"/>
  <cols>
    <col min="1" max="1" width="4.5" style="181" customWidth="1"/>
    <col min="2" max="2" width="37.875" style="142" customWidth="1"/>
    <col min="3" max="3" width="6.75" style="142" customWidth="1"/>
    <col min="4" max="4" width="4.125" style="139" customWidth="1"/>
    <col min="5" max="5" width="8.5" style="140" customWidth="1"/>
    <col min="6" max="6" width="9.75" style="140" customWidth="1"/>
    <col min="7" max="7" width="9.75" style="141" customWidth="1"/>
    <col min="8" max="8" width="12.375" style="142" customWidth="1"/>
    <col min="9" max="10" width="9" style="142"/>
    <col min="11" max="11" width="12" style="142" customWidth="1"/>
    <col min="12" max="16384" width="9" style="142"/>
  </cols>
  <sheetData>
    <row r="1" spans="1:8" ht="15.75" x14ac:dyDescent="0.25">
      <c r="A1" s="138" t="s">
        <v>34</v>
      </c>
      <c r="B1" s="138" t="s">
        <v>35</v>
      </c>
      <c r="C1" s="138"/>
    </row>
    <row r="2" spans="1:8" ht="15.75" x14ac:dyDescent="0.25">
      <c r="A2" s="138"/>
      <c r="B2" s="138"/>
      <c r="C2" s="138"/>
    </row>
    <row r="3" spans="1:8" ht="12.75" customHeight="1" x14ac:dyDescent="0.2">
      <c r="B3" s="225" t="s">
        <v>16</v>
      </c>
      <c r="C3" s="195"/>
      <c r="D3" s="195"/>
      <c r="E3" s="195"/>
      <c r="F3" s="195"/>
      <c r="G3" s="195"/>
    </row>
    <row r="4" spans="1:8" ht="65.25" customHeight="1" x14ac:dyDescent="0.2">
      <c r="A4" s="159"/>
      <c r="B4" s="145" t="s">
        <v>36</v>
      </c>
      <c r="C4" s="145"/>
      <c r="D4" s="145"/>
      <c r="E4" s="145"/>
      <c r="F4" s="145"/>
      <c r="G4" s="145"/>
      <c r="H4" s="160"/>
    </row>
    <row r="5" spans="1:8" ht="81.75" customHeight="1" x14ac:dyDescent="0.2">
      <c r="A5" s="159"/>
      <c r="B5" s="145" t="s">
        <v>37</v>
      </c>
      <c r="C5" s="145"/>
      <c r="D5" s="145"/>
      <c r="E5" s="145"/>
      <c r="F5" s="145"/>
      <c r="G5" s="145"/>
      <c r="H5" s="160"/>
    </row>
    <row r="6" spans="1:8" ht="53.25" customHeight="1" x14ac:dyDescent="0.2">
      <c r="A6" s="159"/>
      <c r="B6" s="145" t="s">
        <v>38</v>
      </c>
      <c r="C6" s="145"/>
      <c r="D6" s="145"/>
      <c r="E6" s="145"/>
      <c r="F6" s="145"/>
      <c r="G6" s="145"/>
      <c r="H6" s="160"/>
    </row>
    <row r="7" spans="1:8" ht="14.45" customHeight="1" x14ac:dyDescent="0.2">
      <c r="A7" s="159"/>
      <c r="B7" s="145" t="s">
        <v>39</v>
      </c>
      <c r="C7" s="145"/>
      <c r="D7" s="145"/>
      <c r="E7" s="145"/>
      <c r="F7" s="145"/>
      <c r="G7" s="145"/>
    </row>
    <row r="8" spans="1:8" ht="14.45" customHeight="1" x14ac:dyDescent="0.2">
      <c r="A8" s="160"/>
      <c r="B8" s="145" t="s">
        <v>40</v>
      </c>
      <c r="C8" s="145"/>
      <c r="D8" s="145"/>
      <c r="E8" s="145"/>
      <c r="F8" s="145"/>
      <c r="G8" s="145"/>
    </row>
    <row r="9" spans="1:8" ht="15.6" customHeight="1" x14ac:dyDescent="0.2">
      <c r="A9" s="160"/>
      <c r="B9" s="145" t="s">
        <v>41</v>
      </c>
      <c r="C9" s="145"/>
      <c r="D9" s="145"/>
      <c r="E9" s="145"/>
      <c r="F9" s="145"/>
      <c r="G9" s="145"/>
    </row>
    <row r="10" spans="1:8" ht="25.9" customHeight="1" x14ac:dyDescent="0.2">
      <c r="A10" s="160"/>
      <c r="B10" s="145" t="s">
        <v>42</v>
      </c>
      <c r="C10" s="145"/>
      <c r="D10" s="145"/>
      <c r="E10" s="145"/>
      <c r="F10" s="145"/>
      <c r="G10" s="145"/>
    </row>
    <row r="11" spans="1:8" ht="36.75" customHeight="1" x14ac:dyDescent="0.2">
      <c r="A11" s="160"/>
      <c r="B11" s="145" t="s">
        <v>43</v>
      </c>
      <c r="C11" s="145"/>
      <c r="D11" s="145"/>
      <c r="E11" s="145"/>
      <c r="F11" s="145"/>
      <c r="G11" s="145"/>
    </row>
    <row r="12" spans="1:8" ht="53.25" customHeight="1" x14ac:dyDescent="0.2">
      <c r="A12" s="160"/>
      <c r="B12" s="145" t="s">
        <v>214</v>
      </c>
      <c r="C12" s="145"/>
      <c r="D12" s="145"/>
      <c r="E12" s="145"/>
      <c r="F12" s="145"/>
      <c r="G12" s="145"/>
    </row>
    <row r="13" spans="1:8" ht="15.75" customHeight="1" x14ac:dyDescent="0.2">
      <c r="A13" s="160"/>
      <c r="B13" s="145" t="s">
        <v>44</v>
      </c>
      <c r="C13" s="145"/>
      <c r="D13" s="145"/>
      <c r="E13" s="145"/>
      <c r="F13" s="145"/>
      <c r="G13" s="145"/>
    </row>
    <row r="14" spans="1:8" ht="15.6" customHeight="1" x14ac:dyDescent="0.2">
      <c r="A14" s="160"/>
      <c r="B14" s="160"/>
      <c r="C14" s="160"/>
      <c r="D14" s="160"/>
      <c r="E14" s="160"/>
      <c r="F14" s="160"/>
      <c r="G14" s="160"/>
    </row>
    <row r="15" spans="1:8" ht="25.5" x14ac:dyDescent="0.2">
      <c r="A15" s="150" t="s">
        <v>2</v>
      </c>
      <c r="B15" s="151" t="s">
        <v>3</v>
      </c>
      <c r="C15" s="187" t="s">
        <v>4</v>
      </c>
      <c r="D15" s="188"/>
      <c r="E15" s="189" t="s">
        <v>5</v>
      </c>
      <c r="F15" s="154" t="s">
        <v>216</v>
      </c>
      <c r="G15" s="154" t="s">
        <v>6</v>
      </c>
    </row>
    <row r="16" spans="1:8" ht="14.25" x14ac:dyDescent="0.2">
      <c r="A16" s="190"/>
      <c r="B16" s="191"/>
      <c r="C16" s="192"/>
      <c r="D16" s="193"/>
      <c r="E16" s="192"/>
      <c r="F16" s="192"/>
      <c r="G16" s="194"/>
    </row>
    <row r="17" spans="1:14" ht="81.75" customHeight="1" x14ac:dyDescent="0.2">
      <c r="A17" s="155" t="s">
        <v>45</v>
      </c>
      <c r="B17" s="226" t="s">
        <v>224</v>
      </c>
      <c r="C17" s="149"/>
      <c r="F17" s="195"/>
      <c r="G17" s="195"/>
      <c r="I17" s="148"/>
      <c r="J17" s="148"/>
      <c r="K17" s="148"/>
      <c r="L17" s="148"/>
      <c r="M17" s="148"/>
    </row>
    <row r="18" spans="1:14" ht="14.25" customHeight="1" x14ac:dyDescent="0.2">
      <c r="A18" s="155"/>
      <c r="B18" s="163" t="s">
        <v>227</v>
      </c>
      <c r="C18" s="227"/>
      <c r="D18" s="139" t="s">
        <v>27</v>
      </c>
      <c r="E18" s="140">
        <f>SUM(176*0.1)</f>
        <v>17.600000000000001</v>
      </c>
      <c r="F18" s="254"/>
      <c r="G18" s="140">
        <f>SUM(E18*F18)</f>
        <v>0</v>
      </c>
      <c r="I18" s="197"/>
      <c r="J18" s="229"/>
      <c r="K18" s="197"/>
      <c r="L18" s="148"/>
      <c r="M18" s="148"/>
    </row>
    <row r="19" spans="1:14" ht="14.25" customHeight="1" x14ac:dyDescent="0.2">
      <c r="A19" s="155"/>
      <c r="B19" s="163" t="s">
        <v>228</v>
      </c>
      <c r="C19" s="227"/>
      <c r="D19" s="139" t="s">
        <v>27</v>
      </c>
      <c r="E19" s="140">
        <f>SUM(17*0.1)</f>
        <v>1.7000000000000002</v>
      </c>
      <c r="F19" s="254"/>
      <c r="G19" s="140">
        <f>SUM(E19*F19)</f>
        <v>0</v>
      </c>
      <c r="I19" s="197"/>
      <c r="J19" s="229"/>
      <c r="K19" s="197"/>
      <c r="L19" s="148"/>
      <c r="M19" s="148"/>
    </row>
    <row r="20" spans="1:14" ht="14.25" customHeight="1" x14ac:dyDescent="0.2">
      <c r="A20" s="155"/>
      <c r="B20" s="163" t="s">
        <v>276</v>
      </c>
      <c r="C20" s="227"/>
      <c r="D20" s="139" t="s">
        <v>27</v>
      </c>
      <c r="E20" s="140">
        <f>SUM((5.3*1.9)*0.1)</f>
        <v>1.0069999999999999</v>
      </c>
      <c r="F20" s="254"/>
      <c r="G20" s="140">
        <f>SUM(E20*F20)</f>
        <v>0</v>
      </c>
      <c r="I20" s="197"/>
      <c r="J20" s="229"/>
      <c r="K20" s="197"/>
      <c r="L20" s="148"/>
      <c r="M20" s="148"/>
    </row>
    <row r="21" spans="1:14" ht="14.25" customHeight="1" x14ac:dyDescent="0.2">
      <c r="A21" s="155"/>
      <c r="B21" s="160"/>
      <c r="C21" s="160"/>
      <c r="D21" s="195"/>
      <c r="E21" s="195"/>
      <c r="F21" s="195"/>
      <c r="G21" s="230"/>
      <c r="I21" s="231"/>
      <c r="J21" s="231"/>
      <c r="K21" s="232"/>
      <c r="L21" s="148"/>
      <c r="M21" s="197"/>
    </row>
    <row r="22" spans="1:14" ht="102.75" customHeight="1" x14ac:dyDescent="0.2">
      <c r="A22" s="155" t="s">
        <v>46</v>
      </c>
      <c r="B22" s="226" t="s">
        <v>290</v>
      </c>
      <c r="C22" s="159"/>
      <c r="D22" s="159"/>
      <c r="E22" s="159"/>
      <c r="F22" s="228"/>
      <c r="G22" s="195"/>
      <c r="I22" s="148"/>
      <c r="J22" s="148"/>
      <c r="K22" s="148"/>
      <c r="L22" s="148"/>
      <c r="M22" s="148"/>
    </row>
    <row r="23" spans="1:14" ht="14.45" customHeight="1" x14ac:dyDescent="0.2">
      <c r="A23" s="155"/>
      <c r="B23" s="203" t="s">
        <v>291</v>
      </c>
      <c r="C23" s="233"/>
      <c r="D23" s="139" t="s">
        <v>27</v>
      </c>
      <c r="E23" s="140">
        <f>SUM((0.3*60)*1.22+6.73)</f>
        <v>28.69</v>
      </c>
      <c r="F23" s="254"/>
      <c r="G23" s="140">
        <f>SUM(E23*F23)</f>
        <v>0</v>
      </c>
      <c r="K23" s="197"/>
      <c r="L23" s="148"/>
      <c r="M23" s="148"/>
    </row>
    <row r="24" spans="1:14" ht="14.25" x14ac:dyDescent="0.2">
      <c r="A24" s="155"/>
      <c r="B24" s="163" t="s">
        <v>226</v>
      </c>
      <c r="C24" s="204"/>
      <c r="D24" s="139" t="s">
        <v>27</v>
      </c>
      <c r="E24" s="234">
        <f>SUM(193*0.25)</f>
        <v>48.25</v>
      </c>
      <c r="F24" s="254"/>
      <c r="G24" s="140">
        <f>SUM(E24*F24)</f>
        <v>0</v>
      </c>
      <c r="H24" s="140"/>
      <c r="I24" s="197"/>
      <c r="J24" s="197"/>
      <c r="K24" s="197"/>
      <c r="L24" s="148"/>
      <c r="M24" s="148"/>
    </row>
    <row r="25" spans="1:14" ht="14.25" x14ac:dyDescent="0.2">
      <c r="A25" s="155"/>
      <c r="B25" s="163"/>
      <c r="C25" s="160"/>
      <c r="E25" s="196"/>
      <c r="F25" s="228"/>
      <c r="G25" s="230"/>
      <c r="I25" s="235"/>
      <c r="J25" s="229"/>
      <c r="L25" s="232"/>
      <c r="M25" s="148"/>
    </row>
    <row r="26" spans="1:14" ht="126.75" customHeight="1" x14ac:dyDescent="0.2">
      <c r="A26" s="155" t="s">
        <v>47</v>
      </c>
      <c r="B26" s="160" t="s">
        <v>418</v>
      </c>
      <c r="C26" s="159"/>
      <c r="D26" s="159"/>
      <c r="E26" s="159"/>
      <c r="F26" s="228"/>
      <c r="G26" s="195"/>
      <c r="K26" s="140"/>
      <c r="N26" s="199"/>
    </row>
    <row r="27" spans="1:14" ht="14.25" x14ac:dyDescent="0.2">
      <c r="A27" s="155"/>
      <c r="B27" s="163" t="s">
        <v>414</v>
      </c>
      <c r="C27" s="233">
        <v>0.25</v>
      </c>
      <c r="D27" s="236" t="s">
        <v>48</v>
      </c>
      <c r="E27" s="140">
        <f>SUM(242*0.25)</f>
        <v>60.5</v>
      </c>
      <c r="F27" s="254"/>
      <c r="G27" s="140">
        <f>SUM(E27*F27)</f>
        <v>0</v>
      </c>
      <c r="I27" s="197"/>
      <c r="J27" s="229"/>
      <c r="K27" s="197"/>
    </row>
    <row r="28" spans="1:14" ht="25.5" x14ac:dyDescent="0.2">
      <c r="A28" s="155"/>
      <c r="B28" s="163" t="s">
        <v>285</v>
      </c>
      <c r="C28" s="237"/>
      <c r="D28" s="236" t="s">
        <v>48</v>
      </c>
      <c r="E28" s="140">
        <f>SUM(17*0.4+7.2*0.4)</f>
        <v>9.6800000000000015</v>
      </c>
      <c r="F28" s="254"/>
      <c r="G28" s="140">
        <f>SUM(E28*F28)</f>
        <v>0</v>
      </c>
      <c r="I28" s="197"/>
      <c r="J28" s="229"/>
      <c r="K28" s="197"/>
    </row>
    <row r="29" spans="1:14" ht="25.5" x14ac:dyDescent="0.2">
      <c r="A29" s="155"/>
      <c r="B29" s="163" t="s">
        <v>415</v>
      </c>
      <c r="C29" s="204"/>
      <c r="D29" s="139" t="s">
        <v>27</v>
      </c>
      <c r="E29" s="234">
        <f>SUM(6*1.75*0.4)</f>
        <v>4.2</v>
      </c>
      <c r="F29" s="254"/>
      <c r="G29" s="140">
        <f>SUM(E29*F29)</f>
        <v>0</v>
      </c>
      <c r="H29" s="140"/>
      <c r="I29" s="238"/>
      <c r="J29" s="229"/>
      <c r="K29" s="197"/>
      <c r="L29" s="239"/>
    </row>
    <row r="30" spans="1:14" ht="14.25" x14ac:dyDescent="0.2">
      <c r="A30" s="155"/>
      <c r="B30" s="163"/>
      <c r="C30" s="236"/>
      <c r="F30" s="228"/>
      <c r="G30" s="140"/>
      <c r="I30" s="197"/>
      <c r="J30" s="235"/>
      <c r="L30" s="197"/>
    </row>
    <row r="31" spans="1:14" ht="78.75" customHeight="1" x14ac:dyDescent="0.2">
      <c r="A31" s="240" t="s">
        <v>49</v>
      </c>
      <c r="B31" s="241" t="s">
        <v>213</v>
      </c>
      <c r="C31" s="236"/>
      <c r="D31" s="236"/>
      <c r="E31" s="242"/>
      <c r="F31" s="228"/>
      <c r="G31" s="140"/>
    </row>
    <row r="32" spans="1:14" ht="14.25" x14ac:dyDescent="0.2">
      <c r="A32" s="155"/>
      <c r="B32" s="163" t="s">
        <v>231</v>
      </c>
      <c r="C32" s="139"/>
      <c r="D32" s="236" t="s">
        <v>48</v>
      </c>
      <c r="E32" s="234">
        <v>70</v>
      </c>
      <c r="F32" s="254"/>
      <c r="G32" s="140">
        <f>SUM(E32*F32)</f>
        <v>0</v>
      </c>
    </row>
    <row r="33" spans="1:11" ht="25.5" x14ac:dyDescent="0.2">
      <c r="A33" s="155"/>
      <c r="B33" s="163" t="s">
        <v>251</v>
      </c>
      <c r="C33" s="139"/>
      <c r="D33" s="236" t="s">
        <v>48</v>
      </c>
      <c r="E33" s="234">
        <v>8</v>
      </c>
      <c r="F33" s="254"/>
      <c r="G33" s="140">
        <f>SUM(E33*F33)</f>
        <v>0</v>
      </c>
    </row>
    <row r="34" spans="1:11" ht="25.5" x14ac:dyDescent="0.2">
      <c r="A34" s="155"/>
      <c r="B34" s="163" t="s">
        <v>240</v>
      </c>
      <c r="C34" s="139"/>
      <c r="D34" s="236" t="s">
        <v>48</v>
      </c>
      <c r="E34" s="234">
        <v>3</v>
      </c>
      <c r="F34" s="254"/>
      <c r="G34" s="140">
        <f>SUM(E34*F34)</f>
        <v>0</v>
      </c>
    </row>
    <row r="35" spans="1:11" ht="25.5" x14ac:dyDescent="0.2">
      <c r="A35" s="155"/>
      <c r="B35" s="163" t="s">
        <v>232</v>
      </c>
      <c r="C35" s="139"/>
      <c r="D35" s="236" t="s">
        <v>48</v>
      </c>
      <c r="E35" s="234">
        <v>1</v>
      </c>
      <c r="F35" s="254"/>
      <c r="G35" s="140">
        <f>SUM(E35*F35)</f>
        <v>0</v>
      </c>
    </row>
    <row r="36" spans="1:11" ht="14.25" x14ac:dyDescent="0.2">
      <c r="A36" s="155"/>
      <c r="B36" s="163" t="s">
        <v>241</v>
      </c>
      <c r="C36" s="139"/>
      <c r="D36" s="236" t="s">
        <v>48</v>
      </c>
      <c r="E36" s="234">
        <v>1</v>
      </c>
      <c r="F36" s="254"/>
      <c r="G36" s="140">
        <f>SUM(E36*F36)</f>
        <v>0</v>
      </c>
    </row>
    <row r="37" spans="1:11" ht="14.25" x14ac:dyDescent="0.2">
      <c r="A37" s="155"/>
      <c r="B37" s="243"/>
      <c r="C37" s="139"/>
      <c r="D37" s="244"/>
      <c r="E37" s="245"/>
      <c r="F37" s="228"/>
      <c r="G37" s="195"/>
    </row>
    <row r="38" spans="1:11" ht="51.75" customHeight="1" x14ac:dyDescent="0.2">
      <c r="A38" s="240" t="s">
        <v>50</v>
      </c>
      <c r="B38" s="246" t="s">
        <v>389</v>
      </c>
      <c r="C38" s="236"/>
      <c r="D38" s="236"/>
      <c r="E38" s="247"/>
      <c r="F38" s="228"/>
      <c r="G38" s="140"/>
    </row>
    <row r="39" spans="1:11" ht="14.25" x14ac:dyDescent="0.2">
      <c r="A39" s="240"/>
      <c r="B39" s="248" t="s">
        <v>390</v>
      </c>
      <c r="C39" s="236"/>
      <c r="D39" s="236" t="s">
        <v>391</v>
      </c>
      <c r="E39" s="247">
        <v>176</v>
      </c>
      <c r="F39" s="254"/>
      <c r="G39" s="140">
        <f>SUM(E39*F39)</f>
        <v>0</v>
      </c>
      <c r="I39" s="140"/>
      <c r="K39" s="140"/>
    </row>
    <row r="40" spans="1:11" ht="14.25" x14ac:dyDescent="0.2">
      <c r="A40" s="155"/>
      <c r="B40" s="163"/>
      <c r="C40" s="236"/>
      <c r="F40" s="228"/>
      <c r="G40" s="195"/>
    </row>
    <row r="41" spans="1:11" ht="51" customHeight="1" x14ac:dyDescent="0.2">
      <c r="A41" s="155" t="s">
        <v>51</v>
      </c>
      <c r="B41" s="195" t="s">
        <v>52</v>
      </c>
      <c r="C41" s="139"/>
      <c r="D41" s="244"/>
      <c r="E41" s="234"/>
      <c r="F41" s="228"/>
      <c r="G41" s="195"/>
      <c r="K41" s="148"/>
    </row>
    <row r="42" spans="1:11" ht="42" customHeight="1" x14ac:dyDescent="0.2">
      <c r="A42" s="155"/>
      <c r="B42" s="226" t="s">
        <v>397</v>
      </c>
      <c r="C42" s="159"/>
      <c r="D42" s="139" t="s">
        <v>388</v>
      </c>
      <c r="E42" s="140">
        <f>SUM(76.95*110)</f>
        <v>8464.5</v>
      </c>
      <c r="F42" s="254"/>
      <c r="G42" s="140">
        <f>SUM(E42*F42)</f>
        <v>0</v>
      </c>
      <c r="K42" s="140"/>
    </row>
    <row r="43" spans="1:11" ht="27.75" customHeight="1" x14ac:dyDescent="0.2">
      <c r="A43" s="155"/>
      <c r="B43" s="226" t="s">
        <v>398</v>
      </c>
      <c r="C43" s="159"/>
      <c r="D43" s="139" t="s">
        <v>388</v>
      </c>
      <c r="E43" s="140">
        <f>SUM(72.6*90)</f>
        <v>6533.9999999999991</v>
      </c>
      <c r="F43" s="254"/>
      <c r="G43" s="140">
        <f>SUM(E43*F43)</f>
        <v>0</v>
      </c>
    </row>
    <row r="44" spans="1:11" ht="14.25" customHeight="1" x14ac:dyDescent="0.2">
      <c r="A44" s="155"/>
      <c r="B44" s="249" t="s">
        <v>413</v>
      </c>
      <c r="C44" s="250"/>
      <c r="D44" s="250"/>
      <c r="E44" s="251"/>
      <c r="F44" s="251"/>
      <c r="G44" s="252"/>
    </row>
    <row r="45" spans="1:11" ht="17.25" customHeight="1" x14ac:dyDescent="0.25">
      <c r="A45" s="150"/>
      <c r="B45" s="169" t="s">
        <v>53</v>
      </c>
      <c r="C45" s="170"/>
      <c r="D45" s="170"/>
      <c r="E45" s="171"/>
      <c r="F45" s="253"/>
      <c r="G45" s="173">
        <f>SUM(G18+G19+G20+G23+G24+G27+G28+G29+G32+G33+G34+G35+G36+G39+G42+G43)</f>
        <v>0</v>
      </c>
    </row>
    <row r="46" spans="1:11" ht="16.5" customHeight="1" x14ac:dyDescent="0.2">
      <c r="A46" s="155"/>
      <c r="B46" s="196"/>
      <c r="C46" s="196"/>
      <c r="G46" s="252"/>
    </row>
    <row r="47" spans="1:11" x14ac:dyDescent="0.2">
      <c r="A47" s="155"/>
      <c r="B47" s="195" t="s">
        <v>33</v>
      </c>
      <c r="C47" s="195"/>
      <c r="G47" s="252"/>
    </row>
    <row r="48" spans="1:11" ht="27.75" customHeight="1" x14ac:dyDescent="0.2">
      <c r="A48" s="155"/>
      <c r="B48" s="222" t="s">
        <v>210</v>
      </c>
      <c r="C48" s="222"/>
      <c r="D48" s="222"/>
      <c r="E48" s="222"/>
      <c r="F48" s="222"/>
      <c r="G48" s="222"/>
    </row>
    <row r="49" spans="1:7" ht="38.25" customHeight="1" x14ac:dyDescent="0.2">
      <c r="A49" s="155"/>
      <c r="B49" s="145" t="s">
        <v>426</v>
      </c>
      <c r="C49" s="145"/>
      <c r="D49" s="145"/>
      <c r="E49" s="145"/>
      <c r="F49" s="145"/>
      <c r="G49" s="145"/>
    </row>
    <row r="50" spans="1:7" ht="31.5" customHeight="1" x14ac:dyDescent="0.2">
      <c r="A50" s="155"/>
      <c r="B50" s="145" t="s">
        <v>54</v>
      </c>
      <c r="C50" s="145"/>
      <c r="D50" s="145"/>
      <c r="E50" s="145"/>
      <c r="F50" s="145"/>
      <c r="G50" s="145"/>
    </row>
    <row r="51" spans="1:7" ht="27.75" customHeight="1" x14ac:dyDescent="0.2">
      <c r="A51" s="155"/>
      <c r="B51" s="145" t="s">
        <v>55</v>
      </c>
      <c r="C51" s="145"/>
      <c r="D51" s="145"/>
      <c r="E51" s="145"/>
      <c r="F51" s="145"/>
      <c r="G51" s="145"/>
    </row>
    <row r="52" spans="1:7" s="138" customFormat="1" ht="37.5" customHeight="1" x14ac:dyDescent="0.25">
      <c r="A52" s="155"/>
    </row>
    <row r="53" spans="1:7" ht="27.75" customHeight="1" x14ac:dyDescent="0.2">
      <c r="A53" s="155"/>
    </row>
    <row r="54" spans="1:7" ht="27.75" customHeight="1" x14ac:dyDescent="0.2">
      <c r="A54" s="155"/>
    </row>
    <row r="55" spans="1:7" ht="12.75" customHeight="1" x14ac:dyDescent="0.2">
      <c r="B55" s="145"/>
      <c r="C55" s="145"/>
      <c r="D55" s="145"/>
      <c r="E55" s="145"/>
      <c r="F55" s="145"/>
      <c r="G55" s="145"/>
    </row>
  </sheetData>
  <sheetProtection algorithmName="SHA-512" hashValue="1Wwsj/k5sQ4NJrLTQZ8SIBKLsfrCSSaDs22urFt7Mdjqh7UZN9DV8+OUzZduQbg0MUARge7Z+NYPwS5mLDs6tQ==" saltValue="Gz2wKTI6O54AoedUiJ2+oQ==" spinCount="100000" sheet="1" objects="1" scenarios="1"/>
  <mergeCells count="16">
    <mergeCell ref="C15:D15"/>
    <mergeCell ref="B4:G4"/>
    <mergeCell ref="B5:G5"/>
    <mergeCell ref="B6:G6"/>
    <mergeCell ref="B7:G7"/>
    <mergeCell ref="B8:G8"/>
    <mergeCell ref="B9:G9"/>
    <mergeCell ref="B10:G10"/>
    <mergeCell ref="B11:G11"/>
    <mergeCell ref="B12:G12"/>
    <mergeCell ref="B13:G13"/>
    <mergeCell ref="B48:G48"/>
    <mergeCell ref="B49:G49"/>
    <mergeCell ref="B50:G50"/>
    <mergeCell ref="B51:G51"/>
    <mergeCell ref="B55:G55"/>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D07E-AAB9-48C1-8A98-84A8DAE0F285}">
  <sheetPr codeName="List5"/>
  <dimension ref="A1:J50"/>
  <sheetViews>
    <sheetView zoomScale="106" zoomScaleNormal="106" workbookViewId="0">
      <selection activeCell="F35" sqref="F35"/>
    </sheetView>
  </sheetViews>
  <sheetFormatPr defaultRowHeight="12.75" x14ac:dyDescent="0.2"/>
  <cols>
    <col min="1" max="1" width="4.5" style="181" customWidth="1"/>
    <col min="2" max="2" width="35.125" style="195" customWidth="1"/>
    <col min="3" max="3" width="3.75" style="195" customWidth="1"/>
    <col min="4" max="4" width="3.5" style="139" customWidth="1"/>
    <col min="5" max="5" width="8.375" style="140" customWidth="1"/>
    <col min="6" max="6" width="9.75" style="140" customWidth="1"/>
    <col min="7" max="7" width="13.875" style="141" customWidth="1"/>
    <col min="8" max="16384" width="9" style="142"/>
  </cols>
  <sheetData>
    <row r="1" spans="1:8" ht="15.75" x14ac:dyDescent="0.25">
      <c r="A1" s="137" t="s">
        <v>56</v>
      </c>
      <c r="B1" s="138" t="s">
        <v>57</v>
      </c>
      <c r="C1" s="138"/>
      <c r="D1" s="140"/>
    </row>
    <row r="2" spans="1:8" ht="15.75" x14ac:dyDescent="0.25">
      <c r="A2" s="137"/>
      <c r="B2" s="138"/>
      <c r="C2" s="138"/>
      <c r="D2" s="140"/>
    </row>
    <row r="3" spans="1:8" ht="12.75" customHeight="1" x14ac:dyDescent="0.2">
      <c r="A3" s="159"/>
      <c r="B3" s="255" t="s">
        <v>16</v>
      </c>
      <c r="C3" s="160"/>
      <c r="D3" s="160"/>
      <c r="E3" s="160"/>
      <c r="F3" s="160"/>
      <c r="G3" s="160"/>
      <c r="H3" s="160"/>
    </row>
    <row r="4" spans="1:8" ht="52.5" customHeight="1" x14ac:dyDescent="0.2">
      <c r="A4" s="159"/>
      <c r="B4" s="145" t="s">
        <v>58</v>
      </c>
      <c r="C4" s="145"/>
      <c r="D4" s="145"/>
      <c r="E4" s="145"/>
      <c r="F4" s="145"/>
      <c r="G4" s="145"/>
      <c r="H4" s="160"/>
    </row>
    <row r="5" spans="1:8" ht="25.9" customHeight="1" x14ac:dyDescent="0.2">
      <c r="A5" s="159"/>
      <c r="B5" s="145" t="s">
        <v>321</v>
      </c>
      <c r="C5" s="145"/>
      <c r="D5" s="145"/>
      <c r="E5" s="145"/>
      <c r="F5" s="145"/>
      <c r="G5" s="145"/>
      <c r="H5" s="160"/>
    </row>
    <row r="6" spans="1:8" ht="62.65" customHeight="1" x14ac:dyDescent="0.2">
      <c r="A6" s="159"/>
      <c r="B6" s="145" t="s">
        <v>159</v>
      </c>
      <c r="C6" s="145"/>
      <c r="D6" s="145"/>
      <c r="E6" s="145"/>
      <c r="F6" s="145"/>
      <c r="G6" s="145"/>
      <c r="H6" s="160"/>
    </row>
    <row r="7" spans="1:8" ht="18" customHeight="1" x14ac:dyDescent="0.2">
      <c r="A7" s="159"/>
      <c r="B7" s="160"/>
      <c r="C7" s="160"/>
      <c r="D7" s="160"/>
      <c r="E7" s="160"/>
      <c r="F7" s="160"/>
      <c r="G7" s="160"/>
      <c r="H7" s="160"/>
    </row>
    <row r="8" spans="1:8" ht="25.5" x14ac:dyDescent="0.2">
      <c r="A8" s="256" t="s">
        <v>2</v>
      </c>
      <c r="B8" s="257" t="s">
        <v>3</v>
      </c>
      <c r="C8" s="258" t="s">
        <v>4</v>
      </c>
      <c r="D8" s="259"/>
      <c r="E8" s="260" t="s">
        <v>5</v>
      </c>
      <c r="F8" s="261" t="s">
        <v>216</v>
      </c>
      <c r="G8" s="260" t="s">
        <v>6</v>
      </c>
    </row>
    <row r="9" spans="1:8" ht="14.25" x14ac:dyDescent="0.2">
      <c r="A9" s="190"/>
      <c r="B9" s="191"/>
      <c r="C9" s="262"/>
      <c r="D9" s="262"/>
      <c r="E9" s="192"/>
      <c r="F9" s="192"/>
      <c r="G9" s="192"/>
    </row>
    <row r="10" spans="1:8" ht="66" customHeight="1" x14ac:dyDescent="0.2">
      <c r="A10" s="155" t="s">
        <v>59</v>
      </c>
      <c r="B10" s="241" t="s">
        <v>336</v>
      </c>
      <c r="C10" s="160"/>
      <c r="D10" s="159"/>
      <c r="E10" s="159"/>
      <c r="F10" s="195"/>
      <c r="G10" s="195"/>
    </row>
    <row r="11" spans="1:8" ht="14.45" customHeight="1" x14ac:dyDescent="0.2">
      <c r="A11" s="155"/>
      <c r="B11" s="163" t="s">
        <v>233</v>
      </c>
      <c r="C11" s="160"/>
      <c r="D11" s="139" t="s">
        <v>29</v>
      </c>
      <c r="E11" s="140">
        <f>SUM(173+17+7.2)</f>
        <v>197.2</v>
      </c>
      <c r="F11" s="41"/>
      <c r="G11" s="140">
        <f>SUM(E11*F11)</f>
        <v>0</v>
      </c>
    </row>
    <row r="12" spans="1:8" ht="14.45" customHeight="1" x14ac:dyDescent="0.2">
      <c r="A12" s="155"/>
      <c r="B12" s="160"/>
      <c r="C12" s="160"/>
      <c r="G12" s="140"/>
    </row>
    <row r="13" spans="1:8" ht="128.25" customHeight="1" x14ac:dyDescent="0.2">
      <c r="A13" s="155" t="s">
        <v>60</v>
      </c>
      <c r="B13" s="160" t="s">
        <v>293</v>
      </c>
      <c r="C13" s="160"/>
      <c r="D13" s="159"/>
      <c r="E13" s="159"/>
      <c r="G13" s="195"/>
    </row>
    <row r="14" spans="1:8" ht="37.5" customHeight="1" x14ac:dyDescent="0.2">
      <c r="A14" s="155"/>
      <c r="B14" s="163" t="s">
        <v>286</v>
      </c>
      <c r="C14" s="160"/>
      <c r="D14" s="139" t="s">
        <v>29</v>
      </c>
      <c r="E14" s="263">
        <f>SUM(E11+60*1.05+(7.2+6))</f>
        <v>273.39999999999998</v>
      </c>
      <c r="F14" s="41"/>
      <c r="G14" s="140">
        <f>SUM(E14*F14)</f>
        <v>0</v>
      </c>
    </row>
    <row r="15" spans="1:8" x14ac:dyDescent="0.2">
      <c r="A15" s="155"/>
      <c r="B15" s="160"/>
      <c r="C15" s="160"/>
      <c r="D15" s="195"/>
      <c r="E15" s="195"/>
      <c r="G15" s="195"/>
    </row>
    <row r="16" spans="1:8" ht="102" x14ac:dyDescent="0.2">
      <c r="A16" s="155" t="s">
        <v>61</v>
      </c>
      <c r="B16" s="160" t="s">
        <v>237</v>
      </c>
      <c r="C16" s="160"/>
      <c r="D16" s="195"/>
      <c r="E16" s="195"/>
      <c r="G16" s="195"/>
    </row>
    <row r="17" spans="1:10" x14ac:dyDescent="0.2">
      <c r="A17" s="155"/>
      <c r="B17" s="163" t="s">
        <v>235</v>
      </c>
      <c r="C17" s="160"/>
      <c r="D17" s="195" t="s">
        <v>161</v>
      </c>
      <c r="E17" s="195">
        <f>SUM(242+24*0.8+41*0.77)</f>
        <v>292.77</v>
      </c>
      <c r="F17" s="41"/>
      <c r="G17" s="140">
        <f>SUM(E17*F17)</f>
        <v>0</v>
      </c>
    </row>
    <row r="18" spans="1:10" x14ac:dyDescent="0.2">
      <c r="A18" s="155"/>
      <c r="B18" s="160"/>
      <c r="C18" s="160"/>
      <c r="D18" s="195"/>
      <c r="E18" s="195"/>
      <c r="G18" s="195"/>
    </row>
    <row r="19" spans="1:10" ht="91.5" customHeight="1" x14ac:dyDescent="0.2">
      <c r="A19" s="155" t="s">
        <v>62</v>
      </c>
      <c r="B19" s="160" t="s">
        <v>292</v>
      </c>
      <c r="C19" s="160"/>
      <c r="D19" s="167"/>
      <c r="G19" s="195"/>
    </row>
    <row r="20" spans="1:10" ht="38.25" x14ac:dyDescent="0.2">
      <c r="A20" s="155"/>
      <c r="B20" s="163" t="s">
        <v>234</v>
      </c>
      <c r="C20" s="160"/>
      <c r="D20" s="139" t="s">
        <v>29</v>
      </c>
      <c r="E20" s="140">
        <v>176</v>
      </c>
      <c r="F20" s="41"/>
      <c r="G20" s="140">
        <f>SUM(E20*F20)</f>
        <v>0</v>
      </c>
    </row>
    <row r="21" spans="1:10" ht="25.5" x14ac:dyDescent="0.2">
      <c r="A21" s="155"/>
      <c r="B21" s="201" t="s">
        <v>289</v>
      </c>
      <c r="C21" s="160"/>
      <c r="D21" s="139" t="s">
        <v>29</v>
      </c>
      <c r="E21" s="263">
        <v>176</v>
      </c>
      <c r="F21" s="41"/>
      <c r="G21" s="140">
        <f>SUM(E21*F21)</f>
        <v>0</v>
      </c>
    </row>
    <row r="22" spans="1:10" ht="51.75" customHeight="1" x14ac:dyDescent="0.2">
      <c r="A22" s="155"/>
      <c r="B22" s="201" t="s">
        <v>338</v>
      </c>
      <c r="C22" s="160"/>
      <c r="D22" s="139" t="s">
        <v>29</v>
      </c>
      <c r="E22" s="263">
        <f>SUM(56*1.65)</f>
        <v>92.399999999999991</v>
      </c>
      <c r="F22" s="41"/>
      <c r="G22" s="140">
        <f>SUM(E22*F22)</f>
        <v>0</v>
      </c>
    </row>
    <row r="23" spans="1:10" ht="51" x14ac:dyDescent="0.2">
      <c r="A23" s="155"/>
      <c r="B23" s="201" t="s">
        <v>337</v>
      </c>
      <c r="C23" s="160"/>
      <c r="D23" s="139" t="s">
        <v>29</v>
      </c>
      <c r="E23" s="263">
        <v>242</v>
      </c>
      <c r="F23" s="41"/>
      <c r="G23" s="140">
        <f t="shared" ref="G23" si="0">SUM(E23*F23)</f>
        <v>0</v>
      </c>
    </row>
    <row r="24" spans="1:10" ht="26.25" customHeight="1" x14ac:dyDescent="0.2">
      <c r="A24" s="155"/>
      <c r="B24" s="163" t="s">
        <v>236</v>
      </c>
      <c r="C24" s="163"/>
      <c r="D24" s="139" t="s">
        <v>29</v>
      </c>
      <c r="E24" s="263">
        <f>SUM(41*0.86)</f>
        <v>35.26</v>
      </c>
      <c r="F24" s="41"/>
      <c r="G24" s="140">
        <f>SUM(E24*F24)</f>
        <v>0</v>
      </c>
    </row>
    <row r="25" spans="1:10" ht="62.25" customHeight="1" x14ac:dyDescent="0.2">
      <c r="A25" s="155"/>
      <c r="B25" s="163" t="s">
        <v>382</v>
      </c>
      <c r="C25" s="163"/>
      <c r="D25" s="139" t="s">
        <v>29</v>
      </c>
      <c r="E25" s="263">
        <f>SUM(60*4.1)</f>
        <v>245.99999999999997</v>
      </c>
      <c r="F25" s="41"/>
      <c r="G25" s="140">
        <f>SUM(E25*F25)</f>
        <v>0</v>
      </c>
    </row>
    <row r="26" spans="1:10" ht="15" customHeight="1" x14ac:dyDescent="0.2">
      <c r="A26" s="155"/>
      <c r="B26" s="163"/>
      <c r="C26" s="163"/>
      <c r="E26" s="202"/>
      <c r="G26" s="195"/>
    </row>
    <row r="27" spans="1:10" ht="78" customHeight="1" x14ac:dyDescent="0.2">
      <c r="A27" s="155" t="s">
        <v>288</v>
      </c>
      <c r="B27" s="195" t="s">
        <v>333</v>
      </c>
      <c r="C27" s="160"/>
      <c r="D27" s="167"/>
      <c r="E27" s="168"/>
      <c r="F27" s="195"/>
      <c r="G27" s="195"/>
    </row>
    <row r="28" spans="1:10" ht="14.25" x14ac:dyDescent="0.2">
      <c r="A28" s="155"/>
      <c r="B28" s="163" t="s">
        <v>158</v>
      </c>
      <c r="C28" s="163"/>
      <c r="D28" s="139" t="s">
        <v>27</v>
      </c>
      <c r="E28" s="140">
        <f>SUM(51*0.3*3.1+51*0.3*0.35)</f>
        <v>52.784999999999997</v>
      </c>
      <c r="F28" s="41"/>
      <c r="G28" s="140">
        <f>SUM(E28*F28)</f>
        <v>0</v>
      </c>
      <c r="J28" s="140"/>
    </row>
    <row r="29" spans="1:10" ht="14.25" x14ac:dyDescent="0.2">
      <c r="A29" s="155"/>
      <c r="B29" s="163" t="s">
        <v>238</v>
      </c>
      <c r="C29" s="163"/>
      <c r="D29" s="139" t="s">
        <v>27</v>
      </c>
      <c r="E29" s="140">
        <f>SUM((7.95+9.1+7.7+2.2)*0.25*3.1+1.7*0.25*0.7)</f>
        <v>21.18375</v>
      </c>
      <c r="F29" s="41"/>
      <c r="G29" s="140">
        <f>SUM(E29*F29)</f>
        <v>0</v>
      </c>
    </row>
    <row r="30" spans="1:10" ht="14.25" x14ac:dyDescent="0.2">
      <c r="A30" s="155"/>
      <c r="B30" s="163" t="s">
        <v>239</v>
      </c>
      <c r="C30" s="163"/>
      <c r="D30" s="139" t="s">
        <v>27</v>
      </c>
      <c r="E30" s="140">
        <f>SUM((3.6*3+2.2)*0.15*3.1+0.61*0.15*1)</f>
        <v>6.1364999999999998</v>
      </c>
      <c r="F30" s="41"/>
      <c r="G30" s="140">
        <f>SUM(E30*F30)</f>
        <v>0</v>
      </c>
    </row>
    <row r="31" spans="1:10" x14ac:dyDescent="0.2">
      <c r="A31" s="155"/>
      <c r="B31" s="226"/>
      <c r="G31" s="195"/>
    </row>
    <row r="32" spans="1:10" ht="51.75" customHeight="1" x14ac:dyDescent="0.2">
      <c r="A32" s="155" t="s">
        <v>244</v>
      </c>
      <c r="B32" s="160" t="s">
        <v>335</v>
      </c>
      <c r="C32" s="160"/>
      <c r="G32" s="195"/>
    </row>
    <row r="33" spans="1:7" ht="14.85" customHeight="1" x14ac:dyDescent="0.2">
      <c r="A33" s="155"/>
      <c r="B33" s="163" t="s">
        <v>131</v>
      </c>
      <c r="C33" s="163"/>
      <c r="D33" s="139" t="s">
        <v>29</v>
      </c>
      <c r="E33" s="263">
        <f>SUM((57.1+7.7)*3.1+(9.1+2.2)*3.1*2)</f>
        <v>270.94</v>
      </c>
      <c r="F33" s="41"/>
      <c r="G33" s="140">
        <f>SUM(E33*F33)</f>
        <v>0</v>
      </c>
    </row>
    <row r="34" spans="1:7" x14ac:dyDescent="0.2">
      <c r="A34" s="155"/>
      <c r="B34" s="163"/>
      <c r="C34" s="160"/>
      <c r="D34" s="195"/>
      <c r="G34" s="195"/>
    </row>
    <row r="35" spans="1:7" ht="89.25" x14ac:dyDescent="0.2">
      <c r="A35" s="155" t="s">
        <v>245</v>
      </c>
      <c r="B35" s="160" t="s">
        <v>334</v>
      </c>
      <c r="C35" s="160"/>
      <c r="G35" s="195"/>
    </row>
    <row r="36" spans="1:7" ht="25.5" x14ac:dyDescent="0.2">
      <c r="A36" s="155"/>
      <c r="B36" s="163" t="s">
        <v>331</v>
      </c>
      <c r="C36" s="163"/>
      <c r="D36" s="139" t="s">
        <v>63</v>
      </c>
      <c r="E36" s="140">
        <f>SUM(1*3)</f>
        <v>3</v>
      </c>
      <c r="F36" s="41"/>
      <c r="G36" s="140">
        <f>SUM(E36*F36)</f>
        <v>0</v>
      </c>
    </row>
    <row r="37" spans="1:7" ht="25.5" x14ac:dyDescent="0.2">
      <c r="A37" s="155"/>
      <c r="B37" s="163" t="s">
        <v>332</v>
      </c>
      <c r="C37" s="163"/>
      <c r="D37" s="139" t="s">
        <v>63</v>
      </c>
      <c r="E37" s="140">
        <f>SUM(0.8*2)</f>
        <v>1.6</v>
      </c>
      <c r="F37" s="41"/>
      <c r="G37" s="140">
        <f>SUM(E37*F37)</f>
        <v>0</v>
      </c>
    </row>
    <row r="38" spans="1:7" ht="14.25" x14ac:dyDescent="0.2">
      <c r="A38" s="155"/>
      <c r="B38" s="163"/>
      <c r="C38" s="163"/>
      <c r="F38" s="159"/>
      <c r="G38" s="140"/>
    </row>
    <row r="39" spans="1:7" ht="25.5" x14ac:dyDescent="0.2">
      <c r="A39" s="155" t="s">
        <v>246</v>
      </c>
      <c r="B39" s="264" t="s">
        <v>341</v>
      </c>
      <c r="C39" s="139"/>
      <c r="D39" s="139" t="s">
        <v>11</v>
      </c>
      <c r="E39" s="140">
        <v>1</v>
      </c>
      <c r="F39" s="105"/>
      <c r="G39" s="140">
        <f>SUM(E39*F39)</f>
        <v>0</v>
      </c>
    </row>
    <row r="40" spans="1:7" x14ac:dyDescent="0.2">
      <c r="A40" s="155"/>
      <c r="B40" s="264"/>
      <c r="C40" s="139"/>
      <c r="E40" s="139"/>
      <c r="F40" s="265"/>
      <c r="G40" s="107" t="str">
        <f>IF(E40="","",E40*F40)</f>
        <v/>
      </c>
    </row>
    <row r="41" spans="1:7" ht="51" x14ac:dyDescent="0.2">
      <c r="A41" s="155" t="s">
        <v>340</v>
      </c>
      <c r="B41" s="264" t="s">
        <v>339</v>
      </c>
      <c r="C41" s="139"/>
      <c r="D41" s="139" t="s">
        <v>11</v>
      </c>
      <c r="E41" s="139">
        <v>2</v>
      </c>
      <c r="F41" s="105"/>
      <c r="G41" s="140">
        <f>SUM(E41*F41)</f>
        <v>0</v>
      </c>
    </row>
    <row r="42" spans="1:7" ht="14.25" x14ac:dyDescent="0.2">
      <c r="A42" s="155"/>
      <c r="B42" s="163"/>
      <c r="C42" s="163"/>
      <c r="F42" s="159"/>
      <c r="G42" s="140"/>
    </row>
    <row r="43" spans="1:7" ht="15.75" x14ac:dyDescent="0.25">
      <c r="A43" s="150"/>
      <c r="B43" s="266" t="s">
        <v>64</v>
      </c>
      <c r="C43" s="266"/>
      <c r="D43" s="170"/>
      <c r="E43" s="171"/>
      <c r="F43" s="172"/>
      <c r="G43" s="267">
        <f>SUM(G10:G41)</f>
        <v>0</v>
      </c>
    </row>
    <row r="44" spans="1:7" x14ac:dyDescent="0.2">
      <c r="A44" s="142"/>
      <c r="B44" s="142"/>
      <c r="C44" s="142"/>
      <c r="D44" s="142"/>
      <c r="E44" s="142"/>
    </row>
    <row r="45" spans="1:7" x14ac:dyDescent="0.2">
      <c r="A45" s="142"/>
      <c r="B45" s="142"/>
      <c r="C45" s="142"/>
      <c r="D45" s="142"/>
      <c r="E45" s="142"/>
    </row>
    <row r="46" spans="1:7" x14ac:dyDescent="0.2">
      <c r="B46" s="142"/>
      <c r="C46" s="142"/>
      <c r="D46" s="142"/>
      <c r="E46" s="142"/>
    </row>
    <row r="47" spans="1:7" x14ac:dyDescent="0.2">
      <c r="B47" s="142"/>
      <c r="C47" s="142"/>
      <c r="D47" s="142"/>
      <c r="E47" s="142"/>
    </row>
    <row r="48" spans="1:7" x14ac:dyDescent="0.2">
      <c r="B48" s="142"/>
      <c r="C48" s="142"/>
      <c r="D48" s="142"/>
      <c r="E48" s="142"/>
    </row>
    <row r="49" spans="2:5" x14ac:dyDescent="0.2">
      <c r="B49" s="142"/>
      <c r="C49" s="142"/>
      <c r="D49" s="142"/>
      <c r="E49" s="142"/>
    </row>
    <row r="50" spans="2:5" x14ac:dyDescent="0.2">
      <c r="B50" s="142"/>
      <c r="C50" s="142"/>
      <c r="D50" s="142"/>
      <c r="E50" s="142"/>
    </row>
  </sheetData>
  <sheetProtection algorithmName="SHA-512" hashValue="zTd4hjNBW3ohMsn9QgackKj7kaBnYd2U1Px/CFNrmj9ij8qKKzwnjKnOUtevq5ICNXEpiTfpkpRcwps/VW2ERQ==" saltValue="B8TkaNStjYV3Wd6w2RVd2A==" spinCount="100000" sheet="1" objects="1" scenarios="1"/>
  <mergeCells count="4">
    <mergeCell ref="B4:G4"/>
    <mergeCell ref="B5:G5"/>
    <mergeCell ref="B6:G6"/>
    <mergeCell ref="C8:D8"/>
  </mergeCells>
  <conditionalFormatting sqref="G40">
    <cfRule type="cellIs" dxfId="0" priority="1" operator="equal">
      <formula>0</formula>
    </cfRule>
  </conditionalFormatting>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6563-B030-4E6E-9B7E-C2A53DCC7CBA}">
  <sheetPr codeName="List6"/>
  <dimension ref="A1:G34"/>
  <sheetViews>
    <sheetView zoomScaleNormal="100" workbookViewId="0">
      <selection activeCell="D13" sqref="D13"/>
    </sheetView>
  </sheetViews>
  <sheetFormatPr defaultRowHeight="12.75" x14ac:dyDescent="0.2"/>
  <cols>
    <col min="1" max="1" width="4.5" style="181" customWidth="1"/>
    <col min="2" max="2" width="36" style="142" customWidth="1"/>
    <col min="3" max="3" width="5" style="139" customWidth="1"/>
    <col min="4" max="4" width="9" style="140"/>
    <col min="5" max="5" width="10.125" style="140" customWidth="1"/>
    <col min="6" max="6" width="13.125" style="141" customWidth="1"/>
    <col min="7" max="7" width="10.375" style="142" bestFit="1" customWidth="1"/>
    <col min="8" max="16384" width="9" style="142"/>
  </cols>
  <sheetData>
    <row r="1" spans="1:6" ht="15.75" x14ac:dyDescent="0.25">
      <c r="A1" s="137" t="s">
        <v>65</v>
      </c>
      <c r="B1" s="138" t="s">
        <v>66</v>
      </c>
      <c r="C1" s="140"/>
    </row>
    <row r="2" spans="1:6" ht="12.75" customHeight="1" x14ac:dyDescent="0.25">
      <c r="A2" s="137"/>
      <c r="B2" s="138"/>
      <c r="C2" s="140"/>
    </row>
    <row r="3" spans="1:6" ht="15" customHeight="1" x14ac:dyDescent="0.2">
      <c r="B3" s="268" t="s">
        <v>16</v>
      </c>
      <c r="C3" s="268"/>
      <c r="D3" s="268"/>
      <c r="E3" s="268"/>
      <c r="F3" s="268"/>
    </row>
    <row r="4" spans="1:6" ht="39" customHeight="1" x14ac:dyDescent="0.2">
      <c r="B4" s="145" t="s">
        <v>67</v>
      </c>
      <c r="C4" s="145"/>
      <c r="D4" s="145"/>
      <c r="E4" s="145"/>
      <c r="F4" s="145"/>
    </row>
    <row r="5" spans="1:6" ht="52.5" customHeight="1" x14ac:dyDescent="0.2">
      <c r="B5" s="145" t="s">
        <v>160</v>
      </c>
      <c r="C5" s="145"/>
      <c r="D5" s="145"/>
      <c r="E5" s="145"/>
      <c r="F5" s="145"/>
    </row>
    <row r="6" spans="1:6" ht="26.25" customHeight="1" x14ac:dyDescent="0.2">
      <c r="B6" s="145" t="s">
        <v>68</v>
      </c>
      <c r="C6" s="145"/>
      <c r="D6" s="145"/>
      <c r="E6" s="145"/>
      <c r="F6" s="145"/>
    </row>
    <row r="7" spans="1:6" ht="39" customHeight="1" x14ac:dyDescent="0.2">
      <c r="B7" s="145" t="s">
        <v>69</v>
      </c>
      <c r="C7" s="145"/>
      <c r="D7" s="145"/>
      <c r="E7" s="145"/>
      <c r="F7" s="145"/>
    </row>
    <row r="8" spans="1:6" ht="52.5" customHeight="1" x14ac:dyDescent="0.2">
      <c r="B8" s="145" t="s">
        <v>70</v>
      </c>
      <c r="C8" s="145"/>
      <c r="D8" s="145"/>
      <c r="E8" s="145"/>
      <c r="F8" s="145"/>
    </row>
    <row r="9" spans="1:6" ht="17.25" customHeight="1" x14ac:dyDescent="0.2">
      <c r="A9" s="160"/>
      <c r="B9" s="160"/>
      <c r="C9" s="160"/>
      <c r="D9" s="160"/>
      <c r="E9" s="160"/>
      <c r="F9" s="160"/>
    </row>
    <row r="10" spans="1:6" ht="28.35" customHeight="1" x14ac:dyDescent="0.2">
      <c r="A10" s="256" t="s">
        <v>2</v>
      </c>
      <c r="B10" s="257" t="s">
        <v>3</v>
      </c>
      <c r="C10" s="260" t="s">
        <v>4</v>
      </c>
      <c r="D10" s="260" t="s">
        <v>5</v>
      </c>
      <c r="E10" s="261" t="s">
        <v>216</v>
      </c>
      <c r="F10" s="260" t="s">
        <v>6</v>
      </c>
    </row>
    <row r="11" spans="1:6" ht="13.5" customHeight="1" x14ac:dyDescent="0.2">
      <c r="A11" s="190"/>
      <c r="B11" s="191"/>
      <c r="C11" s="193"/>
      <c r="D11" s="192"/>
      <c r="E11" s="192"/>
      <c r="F11" s="192"/>
    </row>
    <row r="12" spans="1:6" ht="54.75" customHeight="1" x14ac:dyDescent="0.2">
      <c r="A12" s="155" t="s">
        <v>71</v>
      </c>
      <c r="B12" s="160" t="s">
        <v>72</v>
      </c>
    </row>
    <row r="13" spans="1:6" ht="18" customHeight="1" x14ac:dyDescent="0.2">
      <c r="A13" s="155"/>
      <c r="B13" s="201" t="s">
        <v>242</v>
      </c>
      <c r="C13" s="139" t="s">
        <v>81</v>
      </c>
      <c r="D13" s="140">
        <v>1</v>
      </c>
      <c r="E13" s="182"/>
      <c r="F13" s="140">
        <f>SUM(D13*E13)</f>
        <v>0</v>
      </c>
    </row>
    <row r="14" spans="1:6" x14ac:dyDescent="0.2">
      <c r="A14" s="155"/>
      <c r="B14" s="195"/>
    </row>
    <row r="15" spans="1:6" ht="76.5" x14ac:dyDescent="0.2">
      <c r="A15" s="155" t="s">
        <v>73</v>
      </c>
      <c r="B15" s="160" t="s">
        <v>243</v>
      </c>
      <c r="C15" s="139" t="s">
        <v>29</v>
      </c>
      <c r="D15" s="263">
        <f>SUM(60.5*4.7+2.82*1.1+1.42*1.1)</f>
        <v>289.01400000000001</v>
      </c>
      <c r="E15" s="182"/>
      <c r="F15" s="140">
        <f>SUM(D15*E15)</f>
        <v>0</v>
      </c>
    </row>
    <row r="16" spans="1:6" x14ac:dyDescent="0.2">
      <c r="A16" s="155"/>
      <c r="B16" s="195"/>
    </row>
    <row r="17" spans="1:7" ht="120" customHeight="1" x14ac:dyDescent="0.2">
      <c r="A17" s="155" t="s">
        <v>74</v>
      </c>
      <c r="B17" s="269" t="s">
        <v>343</v>
      </c>
    </row>
    <row r="18" spans="1:7" ht="25.5" x14ac:dyDescent="0.2">
      <c r="A18" s="155"/>
      <c r="B18" s="270" t="s">
        <v>248</v>
      </c>
      <c r="C18" s="139" t="s">
        <v>8</v>
      </c>
      <c r="D18" s="263">
        <f>SUM(60*2)</f>
        <v>120</v>
      </c>
      <c r="E18" s="182"/>
      <c r="F18" s="140">
        <f>SUM(D18*E18)</f>
        <v>0</v>
      </c>
    </row>
    <row r="19" spans="1:7" ht="14.25" customHeight="1" x14ac:dyDescent="0.2">
      <c r="A19" s="155"/>
      <c r="B19" s="270" t="s">
        <v>247</v>
      </c>
      <c r="C19" s="139" t="s">
        <v>8</v>
      </c>
      <c r="D19" s="263">
        <v>60</v>
      </c>
      <c r="E19" s="182"/>
      <c r="F19" s="140">
        <f>SUM(D19*E19)</f>
        <v>0</v>
      </c>
    </row>
    <row r="20" spans="1:7" x14ac:dyDescent="0.2">
      <c r="A20" s="155"/>
      <c r="B20" s="269"/>
    </row>
    <row r="21" spans="1:7" ht="91.5" customHeight="1" x14ac:dyDescent="0.2">
      <c r="A21" s="155" t="s">
        <v>75</v>
      </c>
      <c r="B21" s="264" t="s">
        <v>252</v>
      </c>
    </row>
    <row r="22" spans="1:7" ht="15" customHeight="1" x14ac:dyDescent="0.2">
      <c r="A22" s="155"/>
      <c r="B22" s="270" t="s">
        <v>249</v>
      </c>
      <c r="C22" s="139" t="s">
        <v>29</v>
      </c>
      <c r="D22" s="271">
        <f>SUM(242+41*0.2)</f>
        <v>250.2</v>
      </c>
      <c r="E22" s="182"/>
      <c r="F22" s="140">
        <f>SUM(D22*E22)</f>
        <v>0</v>
      </c>
    </row>
    <row r="23" spans="1:7" ht="16.5" customHeight="1" x14ac:dyDescent="0.2">
      <c r="A23" s="155"/>
      <c r="B23" s="270" t="s">
        <v>250</v>
      </c>
      <c r="C23" s="139" t="s">
        <v>29</v>
      </c>
      <c r="D23" s="234">
        <f>SUM((1.4+1.5+1.6*6+1.2*2+1.1*3+0.9*2+2.3+2.11+2.6+2.38)*3.1)</f>
        <v>91.109000000000009</v>
      </c>
      <c r="E23" s="182"/>
      <c r="F23" s="140">
        <f>SUM(D23*E23)</f>
        <v>0</v>
      </c>
    </row>
    <row r="24" spans="1:7" ht="25.5" customHeight="1" x14ac:dyDescent="0.2">
      <c r="A24" s="155"/>
      <c r="B24" s="270" t="s">
        <v>254</v>
      </c>
      <c r="C24" s="139" t="s">
        <v>29</v>
      </c>
      <c r="D24" s="271">
        <f>SUM(((41*0.2)*2)*2)</f>
        <v>32.800000000000004</v>
      </c>
      <c r="E24" s="182"/>
      <c r="F24" s="140">
        <f>SUM(D24*E24)</f>
        <v>0</v>
      </c>
    </row>
    <row r="25" spans="1:7" ht="28.5" customHeight="1" x14ac:dyDescent="0.2">
      <c r="A25" s="155"/>
      <c r="B25" s="272" t="s">
        <v>253</v>
      </c>
      <c r="C25" s="139" t="s">
        <v>29</v>
      </c>
      <c r="D25" s="263">
        <f>SUM((2.2+2.2+0.2*2)+2.2*0.2)</f>
        <v>5.2400000000000011</v>
      </c>
      <c r="E25" s="182"/>
      <c r="F25" s="140">
        <f>SUM(D25*E25)</f>
        <v>0</v>
      </c>
    </row>
    <row r="26" spans="1:7" ht="16.5" customHeight="1" x14ac:dyDescent="0.2">
      <c r="A26" s="155"/>
      <c r="B26" s="160"/>
      <c r="D26" s="271"/>
      <c r="E26" s="273"/>
      <c r="F26" s="140"/>
    </row>
    <row r="27" spans="1:7" ht="18" customHeight="1" x14ac:dyDescent="0.25">
      <c r="A27" s="150"/>
      <c r="B27" s="274" t="s">
        <v>76</v>
      </c>
      <c r="C27" s="274"/>
      <c r="D27" s="275"/>
      <c r="E27" s="276"/>
      <c r="F27" s="267">
        <f>SUM(F13:F25)</f>
        <v>0</v>
      </c>
      <c r="G27" s="141"/>
    </row>
    <row r="28" spans="1:7" ht="14.25" x14ac:dyDescent="0.2">
      <c r="A28" s="155"/>
      <c r="B28" s="195"/>
      <c r="E28" s="228"/>
    </row>
    <row r="29" spans="1:7" ht="18.75" customHeight="1" x14ac:dyDescent="0.2">
      <c r="A29" s="155"/>
      <c r="B29" s="222" t="s">
        <v>77</v>
      </c>
      <c r="C29" s="223"/>
      <c r="D29" s="223"/>
      <c r="E29" s="223"/>
      <c r="F29" s="223"/>
    </row>
    <row r="30" spans="1:7" ht="14.25" customHeight="1" x14ac:dyDescent="0.2">
      <c r="A30" s="155"/>
      <c r="B30" s="222" t="s">
        <v>261</v>
      </c>
      <c r="C30" s="223"/>
      <c r="D30" s="223"/>
      <c r="E30" s="223"/>
      <c r="F30" s="223"/>
    </row>
    <row r="31" spans="1:7" ht="14.25" x14ac:dyDescent="0.2">
      <c r="A31" s="155"/>
      <c r="B31" s="195"/>
      <c r="E31" s="228"/>
    </row>
    <row r="32" spans="1:7" ht="18.600000000000001" customHeight="1" x14ac:dyDescent="0.2">
      <c r="A32" s="155"/>
      <c r="B32" s="145"/>
      <c r="C32" s="145"/>
      <c r="D32" s="145"/>
      <c r="E32" s="145"/>
      <c r="F32" s="145"/>
    </row>
    <row r="33" spans="2:6" ht="14.25" x14ac:dyDescent="0.2">
      <c r="B33" s="159"/>
    </row>
    <row r="34" spans="2:6" ht="29.85" customHeight="1" x14ac:dyDescent="0.2">
      <c r="B34" s="222"/>
      <c r="C34" s="222"/>
      <c r="D34" s="222"/>
      <c r="E34" s="222"/>
      <c r="F34" s="222"/>
    </row>
  </sheetData>
  <sheetProtection algorithmName="SHA-512" hashValue="D271hLoh0dEunv8blQQEpJrM/djrda9wvmdHSxmdeo5VAHUkF/kdaUuq3LAeREVwvML8zsc1FdBC/v+qHYWplw==" saltValue="WqXzFdDHxIZ/Di+9Jsin6w==" spinCount="100000" sheet="1" objects="1" scenarios="1"/>
  <mergeCells count="11">
    <mergeCell ref="B30:F30"/>
    <mergeCell ref="B29:F29"/>
    <mergeCell ref="B27:D27"/>
    <mergeCell ref="B32:F32"/>
    <mergeCell ref="B34:F34"/>
    <mergeCell ref="B8:F8"/>
    <mergeCell ref="B3:F3"/>
    <mergeCell ref="B4:F4"/>
    <mergeCell ref="B5:F5"/>
    <mergeCell ref="B6:F6"/>
    <mergeCell ref="B7:F7"/>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&amp;L&amp;9
&amp;R&amp;9&amp;P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343D-0713-412A-9BF4-6A8DFD4B5386}">
  <sheetPr codeName="List7"/>
  <dimension ref="A1:F30"/>
  <sheetViews>
    <sheetView topLeftCell="A13" zoomScale="115" zoomScaleNormal="115" workbookViewId="0">
      <selection activeCell="G24" sqref="G24"/>
    </sheetView>
  </sheetViews>
  <sheetFormatPr defaultRowHeight="12.75" x14ac:dyDescent="0.2"/>
  <cols>
    <col min="1" max="1" width="4.5" style="181" customWidth="1"/>
    <col min="2" max="2" width="35.125" style="142" customWidth="1"/>
    <col min="3" max="3" width="5" style="139" customWidth="1"/>
    <col min="4" max="4" width="8.75" style="140" customWidth="1"/>
    <col min="5" max="5" width="10.125" style="140" customWidth="1"/>
    <col min="6" max="6" width="12.75" style="141" customWidth="1"/>
    <col min="7" max="16384" width="9" style="142"/>
  </cols>
  <sheetData>
    <row r="1" spans="1:6" ht="15.75" customHeight="1" x14ac:dyDescent="0.25">
      <c r="A1" s="137" t="s">
        <v>78</v>
      </c>
      <c r="B1" s="138" t="s">
        <v>255</v>
      </c>
    </row>
    <row r="2" spans="1:6" ht="11.1" customHeight="1" x14ac:dyDescent="0.2">
      <c r="A2" s="277"/>
      <c r="B2" s="278"/>
    </row>
    <row r="3" spans="1:6" ht="15.75" customHeight="1" x14ac:dyDescent="0.2">
      <c r="A3" s="277"/>
      <c r="B3" s="279" t="s">
        <v>16</v>
      </c>
    </row>
    <row r="4" spans="1:6" ht="25.35" customHeight="1" x14ac:dyDescent="0.2">
      <c r="A4" s="277"/>
      <c r="B4" s="280" t="s">
        <v>256</v>
      </c>
      <c r="C4" s="280"/>
      <c r="D4" s="280"/>
      <c r="E4" s="280"/>
      <c r="F4" s="280"/>
    </row>
    <row r="5" spans="1:6" ht="15.75" customHeight="1" x14ac:dyDescent="0.2">
      <c r="A5" s="277"/>
      <c r="B5" s="145"/>
      <c r="C5" s="145"/>
      <c r="D5" s="145"/>
      <c r="E5" s="145"/>
      <c r="F5" s="145"/>
    </row>
    <row r="6" spans="1:6" ht="12.75" customHeight="1" x14ac:dyDescent="0.2">
      <c r="A6" s="277"/>
      <c r="B6" s="163"/>
      <c r="C6" s="163"/>
      <c r="D6" s="163"/>
      <c r="E6" s="163"/>
      <c r="F6" s="163"/>
    </row>
    <row r="7" spans="1:6" ht="25.5" x14ac:dyDescent="0.2">
      <c r="A7" s="150" t="s">
        <v>2</v>
      </c>
      <c r="B7" s="151" t="s">
        <v>3</v>
      </c>
      <c r="C7" s="189" t="s">
        <v>4</v>
      </c>
      <c r="D7" s="189" t="s">
        <v>5</v>
      </c>
      <c r="E7" s="261" t="s">
        <v>216</v>
      </c>
      <c r="F7" s="189" t="s">
        <v>6</v>
      </c>
    </row>
    <row r="8" spans="1:6" ht="14.25" x14ac:dyDescent="0.2">
      <c r="A8" s="190"/>
      <c r="B8" s="191"/>
      <c r="C8" s="193"/>
      <c r="D8" s="192"/>
      <c r="E8" s="192"/>
      <c r="F8" s="192"/>
    </row>
    <row r="9" spans="1:6" ht="167.25" customHeight="1" x14ac:dyDescent="0.2">
      <c r="A9" s="240" t="s">
        <v>79</v>
      </c>
      <c r="B9" s="160" t="s">
        <v>327</v>
      </c>
      <c r="C9" s="236"/>
      <c r="D9" s="242"/>
    </row>
    <row r="10" spans="1:6" ht="38.25" x14ac:dyDescent="0.2">
      <c r="A10" s="240"/>
      <c r="B10" s="281" t="s">
        <v>328</v>
      </c>
      <c r="C10" s="139" t="s">
        <v>81</v>
      </c>
      <c r="D10" s="140">
        <v>2</v>
      </c>
      <c r="E10" s="41"/>
      <c r="F10" s="140">
        <f>SUM(D10*E10)</f>
        <v>0</v>
      </c>
    </row>
    <row r="11" spans="1:6" x14ac:dyDescent="0.2">
      <c r="A11" s="240"/>
      <c r="B11" s="282"/>
      <c r="C11" s="236"/>
      <c r="D11" s="242"/>
    </row>
    <row r="12" spans="1:6" ht="165.75" customHeight="1" x14ac:dyDescent="0.2">
      <c r="A12" s="240" t="s">
        <v>80</v>
      </c>
      <c r="B12" s="160" t="s">
        <v>345</v>
      </c>
      <c r="C12" s="236"/>
      <c r="D12" s="242"/>
    </row>
    <row r="13" spans="1:6" ht="27" customHeight="1" x14ac:dyDescent="0.2">
      <c r="A13" s="240"/>
      <c r="B13" s="283" t="s">
        <v>344</v>
      </c>
      <c r="C13" s="139" t="s">
        <v>81</v>
      </c>
      <c r="D13" s="140">
        <v>1</v>
      </c>
      <c r="E13" s="41"/>
      <c r="F13" s="140">
        <f>SUM(D13*E13)</f>
        <v>0</v>
      </c>
    </row>
    <row r="14" spans="1:6" x14ac:dyDescent="0.2">
      <c r="A14" s="240"/>
      <c r="B14" s="282"/>
      <c r="C14" s="236"/>
      <c r="D14" s="242"/>
    </row>
    <row r="15" spans="1:6" ht="78.75" customHeight="1" x14ac:dyDescent="0.2">
      <c r="A15" s="240" t="s">
        <v>82</v>
      </c>
      <c r="B15" s="246" t="s">
        <v>383</v>
      </c>
    </row>
    <row r="16" spans="1:6" ht="25.5" x14ac:dyDescent="0.2">
      <c r="A16" s="240"/>
      <c r="B16" s="284" t="s">
        <v>349</v>
      </c>
      <c r="C16" s="139" t="s">
        <v>81</v>
      </c>
      <c r="D16" s="140">
        <v>1</v>
      </c>
      <c r="E16" s="41"/>
      <c r="F16" s="140">
        <f>SUM(D16*E16)</f>
        <v>0</v>
      </c>
    </row>
    <row r="17" spans="1:6" x14ac:dyDescent="0.2">
      <c r="A17" s="240"/>
      <c r="B17" s="282"/>
      <c r="C17" s="236"/>
      <c r="D17" s="242"/>
    </row>
    <row r="18" spans="1:6" ht="63.75" x14ac:dyDescent="0.2">
      <c r="A18" s="155" t="s">
        <v>329</v>
      </c>
      <c r="B18" s="160" t="s">
        <v>384</v>
      </c>
      <c r="D18" s="271"/>
      <c r="E18" s="228"/>
      <c r="F18" s="140"/>
    </row>
    <row r="19" spans="1:6" ht="14.25" x14ac:dyDescent="0.2">
      <c r="A19" s="155"/>
      <c r="B19" s="163" t="s">
        <v>259</v>
      </c>
      <c r="C19" s="139" t="s">
        <v>29</v>
      </c>
      <c r="D19" s="271">
        <f>SUM(6.05+5.87+5.81+3.83+5.21+106.7+26.2)</f>
        <v>159.66999999999999</v>
      </c>
      <c r="E19" s="182"/>
      <c r="F19" s="140">
        <f>SUM(D19*E19)</f>
        <v>0</v>
      </c>
    </row>
    <row r="20" spans="1:6" ht="14.25" x14ac:dyDescent="0.2">
      <c r="A20" s="155"/>
      <c r="B20" s="163" t="s">
        <v>260</v>
      </c>
      <c r="C20" s="139" t="s">
        <v>29</v>
      </c>
      <c r="D20" s="263">
        <f>SUM(4.62+8.14)</f>
        <v>12.760000000000002</v>
      </c>
      <c r="E20" s="182"/>
      <c r="F20" s="140">
        <f>SUM(D20*E20)</f>
        <v>0</v>
      </c>
    </row>
    <row r="21" spans="1:6" x14ac:dyDescent="0.2">
      <c r="A21" s="155"/>
      <c r="B21" s="163"/>
      <c r="D21" s="263"/>
      <c r="E21" s="199"/>
      <c r="F21" s="140"/>
    </row>
    <row r="22" spans="1:6" ht="90" customHeight="1" x14ac:dyDescent="0.2">
      <c r="A22" s="155" t="s">
        <v>330</v>
      </c>
      <c r="B22" s="163" t="s">
        <v>326</v>
      </c>
      <c r="D22" s="263"/>
      <c r="E22" s="199"/>
      <c r="F22" s="140"/>
    </row>
    <row r="23" spans="1:6" x14ac:dyDescent="0.2">
      <c r="A23" s="155"/>
      <c r="B23" s="163" t="s">
        <v>325</v>
      </c>
      <c r="C23" s="139" t="s">
        <v>11</v>
      </c>
      <c r="D23" s="242">
        <v>5</v>
      </c>
      <c r="E23" s="182"/>
      <c r="F23" s="140">
        <f>SUM(D23*E23)</f>
        <v>0</v>
      </c>
    </row>
    <row r="24" spans="1:6" x14ac:dyDescent="0.2">
      <c r="A24" s="240"/>
      <c r="B24" s="282"/>
      <c r="C24" s="236"/>
      <c r="D24" s="242"/>
    </row>
    <row r="25" spans="1:6" ht="38.25" x14ac:dyDescent="0.2">
      <c r="A25" s="155" t="s">
        <v>348</v>
      </c>
      <c r="B25" s="163" t="s">
        <v>257</v>
      </c>
      <c r="C25" s="285"/>
      <c r="D25" s="197"/>
      <c r="E25" s="197"/>
      <c r="F25" s="286"/>
    </row>
    <row r="26" spans="1:6" x14ac:dyDescent="0.2">
      <c r="A26" s="287"/>
      <c r="B26" s="163" t="s">
        <v>83</v>
      </c>
      <c r="C26" s="139" t="s">
        <v>84</v>
      </c>
      <c r="D26" s="242">
        <v>20</v>
      </c>
      <c r="E26" s="182"/>
      <c r="F26" s="140">
        <f>SUM(D26*E26)</f>
        <v>0</v>
      </c>
    </row>
    <row r="27" spans="1:6" x14ac:dyDescent="0.2">
      <c r="A27" s="287"/>
      <c r="B27" s="163" t="s">
        <v>85</v>
      </c>
      <c r="C27" s="139" t="s">
        <v>84</v>
      </c>
      <c r="D27" s="242">
        <v>30</v>
      </c>
      <c r="E27" s="182"/>
      <c r="F27" s="140">
        <f>SUM(D27*E27)</f>
        <v>0</v>
      </c>
    </row>
    <row r="28" spans="1:6" x14ac:dyDescent="0.2">
      <c r="A28" s="287"/>
      <c r="B28" s="163" t="s">
        <v>342</v>
      </c>
      <c r="C28" s="139" t="s">
        <v>81</v>
      </c>
      <c r="D28" s="242">
        <v>10</v>
      </c>
      <c r="E28" s="182"/>
      <c r="F28" s="140">
        <f>SUM(D28*E28)</f>
        <v>0</v>
      </c>
    </row>
    <row r="29" spans="1:6" ht="8.25" customHeight="1" x14ac:dyDescent="0.25">
      <c r="A29" s="240"/>
      <c r="B29" s="288"/>
      <c r="C29" s="288"/>
      <c r="D29" s="288"/>
      <c r="E29" s="288"/>
      <c r="F29" s="288"/>
    </row>
    <row r="30" spans="1:6" ht="15.75" x14ac:dyDescent="0.25">
      <c r="A30" s="150"/>
      <c r="B30" s="289" t="s">
        <v>258</v>
      </c>
      <c r="C30" s="290"/>
      <c r="D30" s="291"/>
      <c r="E30" s="292"/>
      <c r="F30" s="293">
        <f>SUM(F10:F28)</f>
        <v>0</v>
      </c>
    </row>
  </sheetData>
  <sheetProtection algorithmName="SHA-512" hashValue="gu0tim1HBd6cSpBYcmk+t4/R4sVdJafGi1fj4uFaYd8PzRqvLs+FSB+8xQ+Tyq3aj9kEe4dGLmcgGoZE2EvflQ==" saltValue="LEmtXwXf2H/mzqGLTvM9lg==" spinCount="100000" sheet="1" objects="1" scenarios="1"/>
  <mergeCells count="3">
    <mergeCell ref="B4:F4"/>
    <mergeCell ref="B5:F5"/>
    <mergeCell ref="B29:F29"/>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8466-95E9-457D-9E9A-CFD75C418CF7}">
  <sheetPr codeName="List8"/>
  <dimension ref="A1:K39"/>
  <sheetViews>
    <sheetView topLeftCell="A19" zoomScale="118" zoomScaleNormal="118" workbookViewId="0">
      <selection activeCell="I26" sqref="I26"/>
    </sheetView>
  </sheetViews>
  <sheetFormatPr defaultRowHeight="12.75" x14ac:dyDescent="0.2"/>
  <cols>
    <col min="1" max="1" width="4.5" style="181" customWidth="1"/>
    <col min="2" max="2" width="36.75" style="142" customWidth="1"/>
    <col min="3" max="3" width="5" style="139" customWidth="1"/>
    <col min="4" max="4" width="6.75" style="140" customWidth="1"/>
    <col min="5" max="5" width="11.375" style="140" customWidth="1"/>
    <col min="6" max="6" width="12.75" style="141" customWidth="1"/>
    <col min="7" max="16384" width="9" style="142"/>
  </cols>
  <sheetData>
    <row r="1" spans="1:7" ht="15.75" x14ac:dyDescent="0.25">
      <c r="A1" s="137" t="s">
        <v>86</v>
      </c>
      <c r="B1" s="138" t="s">
        <v>87</v>
      </c>
    </row>
    <row r="2" spans="1:7" ht="15.75" x14ac:dyDescent="0.25">
      <c r="A2" s="137"/>
      <c r="B2" s="138"/>
    </row>
    <row r="3" spans="1:7" ht="14.25" customHeight="1" x14ac:dyDescent="0.2">
      <c r="A3" s="159"/>
      <c r="B3" s="294" t="s">
        <v>16</v>
      </c>
      <c r="C3" s="149"/>
      <c r="D3" s="149"/>
      <c r="E3" s="149"/>
      <c r="F3" s="149"/>
      <c r="G3" s="149"/>
    </row>
    <row r="4" spans="1:7" ht="52.5" customHeight="1" x14ac:dyDescent="0.2">
      <c r="A4" s="159"/>
      <c r="B4" s="146" t="s">
        <v>88</v>
      </c>
      <c r="C4" s="146"/>
      <c r="D4" s="146"/>
      <c r="E4" s="146"/>
      <c r="F4" s="146"/>
      <c r="G4" s="149"/>
    </row>
    <row r="5" spans="1:7" ht="79.5" customHeight="1" x14ac:dyDescent="0.2">
      <c r="A5" s="159"/>
      <c r="B5" s="146" t="s">
        <v>263</v>
      </c>
      <c r="C5" s="146"/>
      <c r="D5" s="146"/>
      <c r="E5" s="146"/>
      <c r="F5" s="146"/>
      <c r="G5" s="149"/>
    </row>
    <row r="6" spans="1:7" ht="57.75" customHeight="1" x14ac:dyDescent="0.2">
      <c r="A6" s="159"/>
      <c r="B6" s="146" t="s">
        <v>262</v>
      </c>
      <c r="C6" s="146"/>
      <c r="D6" s="146"/>
      <c r="E6" s="146"/>
      <c r="F6" s="146"/>
      <c r="G6" s="149"/>
    </row>
    <row r="7" spans="1:7" x14ac:dyDescent="0.2">
      <c r="A7" s="222"/>
      <c r="B7" s="222"/>
      <c r="C7" s="222"/>
      <c r="D7" s="222"/>
      <c r="E7" s="222"/>
      <c r="F7" s="222"/>
    </row>
    <row r="8" spans="1:7" ht="25.5" x14ac:dyDescent="0.2">
      <c r="A8" s="150" t="s">
        <v>2</v>
      </c>
      <c r="B8" s="151" t="s">
        <v>3</v>
      </c>
      <c r="C8" s="189" t="s">
        <v>4</v>
      </c>
      <c r="D8" s="189" t="s">
        <v>5</v>
      </c>
      <c r="E8" s="261" t="s">
        <v>216</v>
      </c>
      <c r="F8" s="189" t="s">
        <v>6</v>
      </c>
    </row>
    <row r="9" spans="1:7" ht="14.25" x14ac:dyDescent="0.2">
      <c r="A9" s="190"/>
      <c r="B9" s="191"/>
      <c r="C9" s="193"/>
      <c r="D9" s="192"/>
      <c r="E9" s="192"/>
      <c r="F9" s="192"/>
    </row>
    <row r="10" spans="1:7" ht="78" customHeight="1" x14ac:dyDescent="0.2">
      <c r="A10" s="155" t="s">
        <v>89</v>
      </c>
      <c r="B10" s="160" t="s">
        <v>354</v>
      </c>
      <c r="D10" s="234"/>
      <c r="E10" s="295"/>
      <c r="F10" s="295"/>
    </row>
    <row r="11" spans="1:7" ht="14.25" x14ac:dyDescent="0.2">
      <c r="A11" s="195"/>
      <c r="B11" s="163"/>
      <c r="C11" s="139" t="s">
        <v>81</v>
      </c>
      <c r="D11" s="140">
        <v>1</v>
      </c>
      <c r="E11" s="301"/>
      <c r="F11" s="140">
        <f>SUM(D11*E11)</f>
        <v>0</v>
      </c>
    </row>
    <row r="12" spans="1:7" x14ac:dyDescent="0.2">
      <c r="A12" s="195"/>
      <c r="B12" s="163"/>
      <c r="E12" s="295"/>
      <c r="F12" s="295"/>
    </row>
    <row r="13" spans="1:7" ht="105" customHeight="1" x14ac:dyDescent="0.2">
      <c r="A13" s="155" t="s">
        <v>90</v>
      </c>
      <c r="B13" s="160" t="s">
        <v>429</v>
      </c>
      <c r="E13" s="159"/>
      <c r="F13" s="140"/>
    </row>
    <row r="14" spans="1:7" ht="51" x14ac:dyDescent="0.2">
      <c r="A14" s="195"/>
      <c r="B14" s="163" t="s">
        <v>409</v>
      </c>
      <c r="C14" s="139" t="s">
        <v>8</v>
      </c>
      <c r="D14" s="140">
        <f>SUM(6*4)</f>
        <v>24</v>
      </c>
      <c r="E14" s="41"/>
      <c r="F14" s="140">
        <f>SUM(D14*E14)</f>
        <v>0</v>
      </c>
    </row>
    <row r="15" spans="1:7" x14ac:dyDescent="0.2">
      <c r="A15" s="195"/>
      <c r="B15" s="163"/>
      <c r="F15" s="295"/>
    </row>
    <row r="16" spans="1:7" ht="165.75" x14ac:dyDescent="0.2">
      <c r="A16" s="155" t="s">
        <v>91</v>
      </c>
      <c r="B16" s="160" t="s">
        <v>410</v>
      </c>
      <c r="C16" s="160"/>
      <c r="D16" s="159"/>
      <c r="F16" s="159"/>
    </row>
    <row r="17" spans="1:6" ht="14.25" x14ac:dyDescent="0.2">
      <c r="A17" s="195"/>
      <c r="B17" s="160"/>
      <c r="C17" s="139" t="s">
        <v>8</v>
      </c>
      <c r="D17" s="140">
        <v>42</v>
      </c>
      <c r="E17" s="41"/>
      <c r="F17" s="140">
        <f>SUM(D17*E17)</f>
        <v>0</v>
      </c>
    </row>
    <row r="18" spans="1:6" x14ac:dyDescent="0.2">
      <c r="A18" s="195"/>
      <c r="B18" s="160"/>
      <c r="F18" s="140"/>
    </row>
    <row r="19" spans="1:6" ht="155.25" customHeight="1" x14ac:dyDescent="0.2">
      <c r="A19" s="240" t="s">
        <v>432</v>
      </c>
      <c r="B19" s="160" t="s">
        <v>427</v>
      </c>
      <c r="D19" s="242"/>
      <c r="F19" s="295"/>
    </row>
    <row r="20" spans="1:6" ht="40.5" customHeight="1" x14ac:dyDescent="0.2">
      <c r="A20" s="246"/>
      <c r="B20" s="163" t="s">
        <v>411</v>
      </c>
      <c r="C20" s="139" t="s">
        <v>8</v>
      </c>
      <c r="D20" s="140">
        <v>33.5</v>
      </c>
      <c r="E20" s="41"/>
      <c r="F20" s="140">
        <f>SUM(D20*E20)</f>
        <v>0</v>
      </c>
    </row>
    <row r="21" spans="1:6" ht="104.25" customHeight="1" x14ac:dyDescent="0.2">
      <c r="A21" s="246"/>
      <c r="B21" s="163" t="s">
        <v>430</v>
      </c>
      <c r="C21" s="139" t="s">
        <v>11</v>
      </c>
      <c r="D21" s="140">
        <v>4</v>
      </c>
      <c r="E21" s="41"/>
      <c r="F21" s="140">
        <f>SUM(D21*E21)</f>
        <v>0</v>
      </c>
    </row>
    <row r="22" spans="1:6" ht="90" customHeight="1" x14ac:dyDescent="0.2">
      <c r="B22" s="163" t="s">
        <v>428</v>
      </c>
      <c r="C22" s="139" t="s">
        <v>11</v>
      </c>
      <c r="D22" s="140">
        <v>5</v>
      </c>
      <c r="E22" s="41"/>
      <c r="F22" s="140">
        <f>SUM(D22*E22)</f>
        <v>0</v>
      </c>
    </row>
    <row r="23" spans="1:6" ht="16.5" customHeight="1" x14ac:dyDescent="0.2">
      <c r="B23" s="296"/>
      <c r="C23" s="160"/>
      <c r="D23" s="251"/>
      <c r="E23" s="251"/>
    </row>
    <row r="24" spans="1:6" ht="15.75" x14ac:dyDescent="0.25">
      <c r="A24" s="150"/>
      <c r="B24" s="169" t="s">
        <v>92</v>
      </c>
      <c r="C24" s="170"/>
      <c r="D24" s="171"/>
      <c r="E24" s="253"/>
      <c r="F24" s="297">
        <f>SUM(F11:F22)</f>
        <v>0</v>
      </c>
    </row>
    <row r="25" spans="1:6" ht="18" x14ac:dyDescent="0.25">
      <c r="A25" s="176"/>
      <c r="B25" s="298"/>
      <c r="C25" s="178"/>
      <c r="D25" s="179"/>
      <c r="E25" s="138"/>
      <c r="F25" s="299"/>
    </row>
    <row r="26" spans="1:6" x14ac:dyDescent="0.2">
      <c r="B26" s="142" t="s">
        <v>33</v>
      </c>
    </row>
    <row r="27" spans="1:6" ht="28.5" customHeight="1" x14ac:dyDescent="0.2">
      <c r="B27" s="145" t="s">
        <v>93</v>
      </c>
      <c r="C27" s="145"/>
      <c r="D27" s="145"/>
      <c r="E27" s="145"/>
      <c r="F27" s="145"/>
    </row>
    <row r="28" spans="1:6" ht="42.75" customHeight="1" x14ac:dyDescent="0.2">
      <c r="B28" s="146" t="s">
        <v>431</v>
      </c>
      <c r="C28" s="146"/>
      <c r="D28" s="146"/>
      <c r="E28" s="146"/>
      <c r="F28" s="146"/>
    </row>
    <row r="29" spans="1:6" ht="13.5" customHeight="1" x14ac:dyDescent="0.2">
      <c r="B29" s="160"/>
      <c r="C29" s="160"/>
      <c r="D29" s="160"/>
      <c r="E29" s="160"/>
      <c r="F29" s="160"/>
    </row>
    <row r="30" spans="1:6" ht="13.5" customHeight="1" x14ac:dyDescent="0.2">
      <c r="B30" s="160"/>
      <c r="C30" s="160"/>
      <c r="D30" s="160"/>
      <c r="E30" s="160"/>
      <c r="F30" s="160"/>
    </row>
    <row r="31" spans="1:6" ht="13.5" customHeight="1" x14ac:dyDescent="0.2">
      <c r="B31" s="160"/>
      <c r="C31" s="160"/>
      <c r="D31" s="160"/>
      <c r="E31" s="160"/>
      <c r="F31" s="160"/>
    </row>
    <row r="32" spans="1:6" ht="13.5" customHeight="1" x14ac:dyDescent="0.2">
      <c r="B32" s="160"/>
      <c r="C32" s="160"/>
      <c r="D32" s="160"/>
      <c r="E32" s="160"/>
      <c r="F32" s="160"/>
    </row>
    <row r="33" spans="2:11" ht="12.75" customHeight="1" x14ac:dyDescent="0.2">
      <c r="B33" s="300"/>
      <c r="C33" s="300"/>
      <c r="D33" s="300"/>
      <c r="E33" s="300"/>
      <c r="F33" s="300"/>
    </row>
    <row r="34" spans="2:11" ht="12.75" customHeight="1" x14ac:dyDescent="0.2">
      <c r="B34" s="145"/>
      <c r="C34" s="145"/>
      <c r="D34" s="145"/>
      <c r="E34" s="145"/>
      <c r="F34" s="145"/>
      <c r="G34" s="145"/>
      <c r="H34" s="145"/>
      <c r="I34" s="145"/>
      <c r="J34" s="145"/>
      <c r="K34" s="145"/>
    </row>
    <row r="35" spans="2:11" ht="12.75" customHeight="1" x14ac:dyDescent="0.2">
      <c r="B35" s="145"/>
      <c r="C35" s="145"/>
      <c r="D35" s="145"/>
      <c r="E35" s="145"/>
      <c r="F35" s="145"/>
      <c r="G35" s="145"/>
      <c r="H35" s="145"/>
      <c r="I35" s="145"/>
      <c r="J35" s="145"/>
      <c r="K35" s="145"/>
    </row>
    <row r="36" spans="2:11" ht="12.75" customHeight="1" x14ac:dyDescent="0.2">
      <c r="B36" s="145"/>
      <c r="C36" s="145"/>
      <c r="D36" s="145"/>
      <c r="E36" s="145"/>
      <c r="F36" s="145"/>
      <c r="G36" s="145"/>
      <c r="H36" s="145"/>
      <c r="I36" s="145"/>
      <c r="J36" s="145"/>
      <c r="K36" s="145"/>
    </row>
    <row r="37" spans="2:11" ht="12.75" customHeight="1" x14ac:dyDescent="0.2">
      <c r="B37" s="145"/>
      <c r="C37" s="145"/>
      <c r="D37" s="145"/>
      <c r="E37" s="145"/>
      <c r="F37" s="145"/>
    </row>
    <row r="38" spans="2:11" ht="12.75" customHeight="1" x14ac:dyDescent="0.2">
      <c r="B38" s="145"/>
      <c r="C38" s="145"/>
      <c r="D38" s="145"/>
      <c r="E38" s="145"/>
      <c r="F38" s="145"/>
    </row>
    <row r="39" spans="2:11" x14ac:dyDescent="0.2">
      <c r="B39" s="278"/>
    </row>
  </sheetData>
  <sheetProtection algorithmName="SHA-512" hashValue="R/roNIGTSgfmjeTkYpLRzJDPEX7rLMMJmw0o69bFeg9xOt2f7fCF+sFDpENZRc60id2U4B4Nb2S+caFCIJIDxA==" saltValue="9Xm0UEJS4M9Q7TRz8mvhMw==" spinCount="100000" sheet="1" objects="1" scenarios="1"/>
  <mergeCells count="15">
    <mergeCell ref="B4:F4"/>
    <mergeCell ref="B5:F5"/>
    <mergeCell ref="B6:F6"/>
    <mergeCell ref="A7:F7"/>
    <mergeCell ref="B27:F27"/>
    <mergeCell ref="G34:K34"/>
    <mergeCell ref="B35:F35"/>
    <mergeCell ref="G35:K35"/>
    <mergeCell ref="B36:F36"/>
    <mergeCell ref="G36:K36"/>
    <mergeCell ref="B28:F28"/>
    <mergeCell ref="B33:F33"/>
    <mergeCell ref="B37:F37"/>
    <mergeCell ref="B38:F38"/>
    <mergeCell ref="B34:F34"/>
  </mergeCells>
  <pageMargins left="0.86614173228346458" right="0.78740157480314965" top="0.78740157480314965" bottom="0.39370078740157483" header="0.51181102362204722" footer="0.51181102362204722"/>
  <pageSetup paperSize="9" firstPageNumber="0" orientation="portrait" horizontalDpi="300" verticalDpi="300" r:id="rId1"/>
  <headerFooter alignWithMargins="0">
    <oddHeader>&amp;L&amp;9&amp;F&amp;R&amp;9&amp;A</oddHeader>
    <oddFooter>&amp;R&amp;9&amp;P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27725-F633-4722-960D-9AFFFB1507D3}">
  <sheetPr codeName="List13"/>
  <dimension ref="A1:G37"/>
  <sheetViews>
    <sheetView topLeftCell="A16" zoomScale="98" zoomScaleNormal="98" workbookViewId="0">
      <selection activeCell="A16" sqref="A1:XFD1048576"/>
    </sheetView>
  </sheetViews>
  <sheetFormatPr defaultRowHeight="12.75" x14ac:dyDescent="0.2"/>
  <cols>
    <col min="1" max="1" width="4.5" style="181" customWidth="1"/>
    <col min="2" max="2" width="35.125" style="142" customWidth="1"/>
    <col min="3" max="3" width="5" style="139" customWidth="1"/>
    <col min="4" max="4" width="7.5" style="140" customWidth="1"/>
    <col min="5" max="5" width="10.125" style="140" customWidth="1"/>
    <col min="6" max="6" width="15.125" style="141" customWidth="1"/>
    <col min="7" max="16384" width="9" style="142"/>
  </cols>
  <sheetData>
    <row r="1" spans="1:7" ht="15.75" x14ac:dyDescent="0.25">
      <c r="A1" s="137" t="s">
        <v>94</v>
      </c>
      <c r="B1" s="138" t="s">
        <v>164</v>
      </c>
      <c r="C1" s="140"/>
    </row>
    <row r="2" spans="1:7" ht="15.75" x14ac:dyDescent="0.25">
      <c r="A2" s="137"/>
      <c r="B2" s="138"/>
      <c r="C2" s="140"/>
    </row>
    <row r="3" spans="1:7" ht="12.75" customHeight="1" x14ac:dyDescent="0.2">
      <c r="A3" s="159"/>
      <c r="B3" s="294" t="s">
        <v>16</v>
      </c>
      <c r="C3" s="149"/>
      <c r="D3" s="149"/>
      <c r="E3" s="149"/>
      <c r="F3" s="149"/>
      <c r="G3" s="149"/>
    </row>
    <row r="4" spans="1:7" ht="27" customHeight="1" x14ac:dyDescent="0.2">
      <c r="A4" s="159"/>
      <c r="B4" s="145" t="s">
        <v>95</v>
      </c>
      <c r="C4" s="145"/>
      <c r="D4" s="145"/>
      <c r="E4" s="145"/>
      <c r="F4" s="145"/>
      <c r="G4" s="149"/>
    </row>
    <row r="5" spans="1:7" ht="28.5" customHeight="1" x14ac:dyDescent="0.2">
      <c r="A5" s="159"/>
      <c r="B5" s="145" t="s">
        <v>96</v>
      </c>
      <c r="C5" s="145"/>
      <c r="D5" s="145"/>
      <c r="E5" s="145"/>
      <c r="F5" s="145"/>
      <c r="G5" s="149"/>
    </row>
    <row r="6" spans="1:7" ht="64.5" customHeight="1" x14ac:dyDescent="0.2">
      <c r="A6" s="159"/>
      <c r="B6" s="145" t="s">
        <v>97</v>
      </c>
      <c r="C6" s="145"/>
      <c r="D6" s="145"/>
      <c r="E6" s="145"/>
      <c r="F6" s="145"/>
      <c r="G6" s="149"/>
    </row>
    <row r="7" spans="1:7" ht="39.75" customHeight="1" x14ac:dyDescent="0.2">
      <c r="A7" s="159"/>
      <c r="B7" s="145" t="s">
        <v>98</v>
      </c>
      <c r="C7" s="145"/>
      <c r="D7" s="145"/>
      <c r="E7" s="145"/>
      <c r="F7" s="145"/>
      <c r="G7" s="149"/>
    </row>
    <row r="8" spans="1:7" x14ac:dyDescent="0.2">
      <c r="A8" s="195"/>
      <c r="B8" s="195"/>
      <c r="C8" s="195"/>
      <c r="D8" s="195"/>
      <c r="E8" s="195"/>
      <c r="F8" s="195"/>
    </row>
    <row r="9" spans="1:7" ht="28.9" customHeight="1" x14ac:dyDescent="0.2">
      <c r="A9" s="150" t="s">
        <v>2</v>
      </c>
      <c r="B9" s="151" t="s">
        <v>3</v>
      </c>
      <c r="C9" s="189" t="s">
        <v>4</v>
      </c>
      <c r="D9" s="189" t="s">
        <v>5</v>
      </c>
      <c r="E9" s="261" t="s">
        <v>216</v>
      </c>
      <c r="F9" s="189" t="s">
        <v>6</v>
      </c>
    </row>
    <row r="10" spans="1:7" ht="96" customHeight="1" x14ac:dyDescent="0.2">
      <c r="A10" s="155" t="s">
        <v>99</v>
      </c>
      <c r="B10" s="302" t="s">
        <v>295</v>
      </c>
      <c r="C10" s="303"/>
      <c r="D10" s="304"/>
      <c r="E10" s="305"/>
      <c r="F10" s="306"/>
    </row>
    <row r="11" spans="1:7" ht="55.5" customHeight="1" x14ac:dyDescent="0.2">
      <c r="A11" s="155"/>
      <c r="B11" s="302" t="s">
        <v>296</v>
      </c>
      <c r="C11" s="303"/>
      <c r="D11" s="304"/>
      <c r="E11" s="305"/>
      <c r="F11" s="306"/>
    </row>
    <row r="12" spans="1:7" ht="15" customHeight="1" x14ac:dyDescent="0.2">
      <c r="A12" s="155"/>
      <c r="B12" s="307" t="s">
        <v>162</v>
      </c>
      <c r="C12" s="303"/>
      <c r="D12" s="304"/>
      <c r="E12" s="305"/>
      <c r="F12" s="306"/>
    </row>
    <row r="13" spans="1:7" ht="14.45" customHeight="1" x14ac:dyDescent="0.2">
      <c r="A13" s="308"/>
      <c r="B13" s="309" t="s">
        <v>264</v>
      </c>
      <c r="C13" s="139" t="s">
        <v>8</v>
      </c>
      <c r="D13" s="310">
        <f>SUM(0.7*3+1.8+2.5*2+1.2)</f>
        <v>10.099999999999998</v>
      </c>
      <c r="E13" s="29"/>
      <c r="F13" s="306">
        <f>E13*D13</f>
        <v>0</v>
      </c>
    </row>
    <row r="14" spans="1:7" ht="14.45" customHeight="1" x14ac:dyDescent="0.2">
      <c r="A14" s="308"/>
      <c r="B14" s="309" t="s">
        <v>265</v>
      </c>
      <c r="C14" s="139" t="s">
        <v>8</v>
      </c>
      <c r="D14" s="310">
        <v>2.8</v>
      </c>
      <c r="E14" s="29"/>
      <c r="F14" s="306">
        <f>E14*D14</f>
        <v>0</v>
      </c>
    </row>
    <row r="15" spans="1:7" ht="14.45" customHeight="1" x14ac:dyDescent="0.2">
      <c r="A15" s="308"/>
      <c r="B15" s="149"/>
    </row>
    <row r="16" spans="1:7" ht="78.75" customHeight="1" x14ac:dyDescent="0.2">
      <c r="A16" s="155" t="s">
        <v>100</v>
      </c>
      <c r="B16" s="160" t="s">
        <v>355</v>
      </c>
    </row>
    <row r="17" spans="1:6" ht="55.5" customHeight="1" x14ac:dyDescent="0.2">
      <c r="A17" s="308"/>
      <c r="B17" s="163" t="s">
        <v>298</v>
      </c>
      <c r="C17" s="139" t="s">
        <v>8</v>
      </c>
      <c r="D17" s="310">
        <v>5.3</v>
      </c>
      <c r="E17" s="29"/>
      <c r="F17" s="306">
        <f>E17*D17</f>
        <v>0</v>
      </c>
    </row>
    <row r="18" spans="1:6" ht="54.75" customHeight="1" x14ac:dyDescent="0.2">
      <c r="A18" s="308"/>
      <c r="B18" s="163" t="s">
        <v>356</v>
      </c>
      <c r="C18" s="139" t="s">
        <v>81</v>
      </c>
      <c r="D18" s="310">
        <v>1</v>
      </c>
      <c r="E18" s="29"/>
      <c r="F18" s="306">
        <f>E18*D18</f>
        <v>0</v>
      </c>
    </row>
    <row r="19" spans="1:6" ht="13.9" customHeight="1" x14ac:dyDescent="0.2">
      <c r="A19" s="308"/>
      <c r="B19" s="149"/>
      <c r="C19" s="312"/>
      <c r="D19" s="310"/>
      <c r="E19" s="311"/>
      <c r="F19" s="306"/>
    </row>
    <row r="20" spans="1:6" ht="53.25" customHeight="1" x14ac:dyDescent="0.2">
      <c r="A20" s="155" t="s">
        <v>266</v>
      </c>
      <c r="B20" s="160" t="s">
        <v>392</v>
      </c>
    </row>
    <row r="21" spans="1:6" ht="13.9" customHeight="1" x14ac:dyDescent="0.2">
      <c r="A21" s="308"/>
      <c r="B21" s="149"/>
      <c r="C21" s="312" t="s">
        <v>11</v>
      </c>
      <c r="D21" s="310">
        <v>1</v>
      </c>
      <c r="E21" s="29"/>
      <c r="F21" s="306">
        <f>E21*D21</f>
        <v>0</v>
      </c>
    </row>
    <row r="22" spans="1:6" ht="13.9" customHeight="1" x14ac:dyDescent="0.2">
      <c r="A22" s="308"/>
      <c r="B22" s="149"/>
      <c r="C22" s="312"/>
      <c r="D22" s="310"/>
      <c r="E22" s="311"/>
      <c r="F22" s="306"/>
    </row>
    <row r="23" spans="1:6" ht="79.5" customHeight="1" x14ac:dyDescent="0.2">
      <c r="A23" s="155" t="s">
        <v>297</v>
      </c>
      <c r="B23" s="160" t="s">
        <v>412</v>
      </c>
    </row>
    <row r="24" spans="1:6" ht="13.9" customHeight="1" x14ac:dyDescent="0.2">
      <c r="A24" s="308"/>
      <c r="B24" s="149"/>
      <c r="C24" s="312" t="s">
        <v>11</v>
      </c>
      <c r="D24" s="310">
        <v>1</v>
      </c>
      <c r="E24" s="29"/>
      <c r="F24" s="306">
        <f>E24*D24</f>
        <v>0</v>
      </c>
    </row>
    <row r="25" spans="1:6" ht="16.5" customHeight="1" x14ac:dyDescent="0.2">
      <c r="A25" s="308"/>
      <c r="B25" s="201"/>
      <c r="F25" s="313"/>
    </row>
    <row r="26" spans="1:6" ht="16.350000000000001" customHeight="1" x14ac:dyDescent="0.25">
      <c r="A26" s="150"/>
      <c r="B26" s="314" t="s">
        <v>163</v>
      </c>
      <c r="C26" s="274"/>
      <c r="D26" s="315"/>
      <c r="E26" s="316"/>
      <c r="F26" s="293">
        <f>SUM(F13:F24)</f>
        <v>0</v>
      </c>
    </row>
    <row r="27" spans="1:6" ht="16.5" customHeight="1" x14ac:dyDescent="0.2">
      <c r="A27" s="308"/>
      <c r="B27" s="195"/>
    </row>
    <row r="28" spans="1:6" ht="12.6" customHeight="1" x14ac:dyDescent="0.2">
      <c r="A28" s="308"/>
      <c r="B28" s="160"/>
    </row>
    <row r="29" spans="1:6" ht="15.6" customHeight="1" x14ac:dyDescent="0.2">
      <c r="A29" s="308"/>
      <c r="B29" s="280"/>
      <c r="C29" s="280"/>
      <c r="D29" s="280"/>
      <c r="E29" s="280"/>
      <c r="F29" s="280"/>
    </row>
    <row r="30" spans="1:6" ht="15.6" customHeight="1" x14ac:dyDescent="0.2">
      <c r="A30" s="308"/>
      <c r="B30" s="149"/>
    </row>
    <row r="31" spans="1:6" ht="12.6" customHeight="1" x14ac:dyDescent="0.2">
      <c r="A31" s="308"/>
      <c r="B31" s="300"/>
      <c r="C31" s="300"/>
      <c r="D31" s="300"/>
      <c r="E31" s="300"/>
      <c r="F31" s="300"/>
    </row>
    <row r="32" spans="1:6" ht="12" customHeight="1" x14ac:dyDescent="0.2">
      <c r="A32" s="308"/>
      <c r="B32" s="145"/>
      <c r="C32" s="145"/>
      <c r="D32" s="145"/>
      <c r="E32" s="145"/>
      <c r="F32" s="145"/>
    </row>
    <row r="33" spans="1:6" ht="12.6" customHeight="1" x14ac:dyDescent="0.2">
      <c r="A33" s="308"/>
      <c r="B33" s="145"/>
      <c r="C33" s="145"/>
      <c r="D33" s="145"/>
      <c r="E33" s="145"/>
      <c r="F33" s="145"/>
    </row>
    <row r="34" spans="1:6" ht="12.75" customHeight="1" x14ac:dyDescent="0.2">
      <c r="A34" s="142"/>
      <c r="B34" s="145"/>
      <c r="C34" s="145"/>
      <c r="D34" s="145"/>
      <c r="E34" s="145"/>
      <c r="F34" s="145"/>
    </row>
    <row r="35" spans="1:6" ht="12.75" customHeight="1" x14ac:dyDescent="0.2">
      <c r="B35" s="145"/>
      <c r="C35" s="145"/>
      <c r="D35" s="145"/>
      <c r="E35" s="145"/>
      <c r="F35" s="145"/>
    </row>
    <row r="36" spans="1:6" ht="12.75" customHeight="1" x14ac:dyDescent="0.2">
      <c r="B36" s="145"/>
      <c r="C36" s="145"/>
      <c r="D36" s="145"/>
      <c r="E36" s="145"/>
      <c r="F36" s="145"/>
    </row>
    <row r="37" spans="1:6" x14ac:dyDescent="0.2">
      <c r="B37" s="278"/>
    </row>
  </sheetData>
  <sheetProtection algorithmName="SHA-512" hashValue="SbDwKLJOem6UrRwlf9/mydqFKuExSTcTIj0F3d3YPwdJNNTZ9uiFk9h6dRiwhHb3Ot929I08j266+aDKDij/jw==" saltValue="3lUbVcN6IOCthDocTGY0Zw==" spinCount="100000" sheet="1" objects="1" scenarios="1"/>
  <mergeCells count="12">
    <mergeCell ref="B4:F4"/>
    <mergeCell ref="B5:F5"/>
    <mergeCell ref="B6:F6"/>
    <mergeCell ref="B7:F7"/>
    <mergeCell ref="B29:F29"/>
    <mergeCell ref="C26:E26"/>
    <mergeCell ref="B36:F36"/>
    <mergeCell ref="B31:F31"/>
    <mergeCell ref="B32:F32"/>
    <mergeCell ref="B33:F33"/>
    <mergeCell ref="B34:F34"/>
    <mergeCell ref="B35:F35"/>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8E1C-D4A3-42D5-8385-11807888CE3A}">
  <sheetPr codeName="List12"/>
  <dimension ref="A1:F46"/>
  <sheetViews>
    <sheetView topLeftCell="A34" zoomScale="130" zoomScaleNormal="130" workbookViewId="0">
      <selection activeCell="F49" sqref="F49"/>
    </sheetView>
  </sheetViews>
  <sheetFormatPr defaultRowHeight="12.75" x14ac:dyDescent="0.2"/>
  <cols>
    <col min="1" max="1" width="4.5" style="1" customWidth="1"/>
    <col min="2" max="2" width="39.875" style="2" customWidth="1"/>
    <col min="3" max="3" width="5" style="3" customWidth="1"/>
    <col min="4" max="4" width="6.75" style="4" customWidth="1"/>
    <col min="5" max="5" width="8.75" style="4" customWidth="1"/>
    <col min="6" max="6" width="9.75" style="5" customWidth="1"/>
    <col min="7" max="16384" width="9" style="2"/>
  </cols>
  <sheetData>
    <row r="1" spans="1:6" ht="15.75" x14ac:dyDescent="0.25">
      <c r="A1" s="6" t="s">
        <v>102</v>
      </c>
      <c r="B1" s="7" t="s">
        <v>103</v>
      </c>
    </row>
    <row r="2" spans="1:6" ht="15.75" x14ac:dyDescent="0.25">
      <c r="A2" s="6"/>
      <c r="B2" s="7"/>
    </row>
    <row r="3" spans="1:6" ht="15.75" customHeight="1" x14ac:dyDescent="0.2">
      <c r="B3" s="127" t="s">
        <v>16</v>
      </c>
      <c r="C3" s="127"/>
      <c r="D3" s="127"/>
      <c r="E3" s="127"/>
      <c r="F3" s="127"/>
    </row>
    <row r="4" spans="1:6" ht="40.5" customHeight="1" x14ac:dyDescent="0.2">
      <c r="B4" s="122" t="s">
        <v>104</v>
      </c>
      <c r="C4" s="122"/>
      <c r="D4" s="122"/>
      <c r="E4" s="122"/>
      <c r="F4" s="122"/>
    </row>
    <row r="5" spans="1:6" ht="39.75" customHeight="1" x14ac:dyDescent="0.2">
      <c r="B5" s="122" t="s">
        <v>105</v>
      </c>
      <c r="C5" s="122"/>
      <c r="D5" s="122"/>
      <c r="E5" s="122"/>
      <c r="F5" s="122"/>
    </row>
    <row r="6" spans="1:6" ht="63.75" customHeight="1" x14ac:dyDescent="0.2">
      <c r="B6" s="122" t="s">
        <v>106</v>
      </c>
      <c r="C6" s="122"/>
      <c r="D6" s="122"/>
      <c r="E6" s="122"/>
      <c r="F6" s="122"/>
    </row>
    <row r="7" spans="1:6" ht="25.5" customHeight="1" x14ac:dyDescent="0.2">
      <c r="B7" s="123" t="s">
        <v>385</v>
      </c>
      <c r="C7" s="124"/>
      <c r="D7" s="124"/>
      <c r="E7" s="124"/>
      <c r="F7" s="124"/>
    </row>
    <row r="8" spans="1:6" ht="25.5" customHeight="1" x14ac:dyDescent="0.2">
      <c r="B8" s="123" t="s">
        <v>386</v>
      </c>
      <c r="C8" s="124"/>
      <c r="D8" s="124"/>
      <c r="E8" s="124"/>
      <c r="F8" s="124"/>
    </row>
    <row r="9" spans="1:6" ht="25.5" customHeight="1" x14ac:dyDescent="0.2">
      <c r="B9" s="130" t="s">
        <v>423</v>
      </c>
      <c r="C9" s="131"/>
      <c r="D9" s="131"/>
      <c r="E9" s="131"/>
      <c r="F9" s="131"/>
    </row>
    <row r="10" spans="1:6" ht="15.75" customHeight="1" x14ac:dyDescent="0.2">
      <c r="B10" s="130" t="s">
        <v>422</v>
      </c>
      <c r="C10" s="131"/>
      <c r="D10" s="131"/>
      <c r="E10" s="131"/>
      <c r="F10" s="131"/>
    </row>
    <row r="11" spans="1:6" ht="15.75" customHeight="1" x14ac:dyDescent="0.2">
      <c r="B11" s="112"/>
      <c r="C11" s="112"/>
      <c r="D11" s="112"/>
      <c r="E11" s="112"/>
      <c r="F11" s="112"/>
    </row>
    <row r="12" spans="1:6" ht="25.5" x14ac:dyDescent="0.2">
      <c r="A12" s="8" t="s">
        <v>2</v>
      </c>
      <c r="B12" s="9" t="s">
        <v>3</v>
      </c>
      <c r="C12" s="16" t="s">
        <v>4</v>
      </c>
      <c r="D12" s="16" t="s">
        <v>5</v>
      </c>
      <c r="E12" s="109" t="s">
        <v>216</v>
      </c>
      <c r="F12" s="30" t="s">
        <v>6</v>
      </c>
    </row>
    <row r="13" spans="1:6" ht="14.25" x14ac:dyDescent="0.2">
      <c r="A13" s="66"/>
      <c r="B13" s="67"/>
      <c r="C13" s="68"/>
      <c r="D13" s="69"/>
      <c r="E13" s="69"/>
      <c r="F13" s="70"/>
    </row>
    <row r="14" spans="1:6" ht="166.5" customHeight="1" x14ac:dyDescent="0.2">
      <c r="A14" s="10" t="s">
        <v>107</v>
      </c>
      <c r="B14" s="112" t="s">
        <v>380</v>
      </c>
      <c r="D14" s="31"/>
      <c r="E14" s="120"/>
      <c r="F14" s="120"/>
    </row>
    <row r="15" spans="1:6" ht="15" customHeight="1" x14ac:dyDescent="0.2">
      <c r="A15" s="10"/>
      <c r="B15" s="112" t="s">
        <v>300</v>
      </c>
      <c r="D15" s="31"/>
      <c r="E15" s="120"/>
      <c r="F15" s="120"/>
    </row>
    <row r="16" spans="1:6" ht="25.5" x14ac:dyDescent="0.2">
      <c r="A16" s="1" t="s">
        <v>108</v>
      </c>
      <c r="B16" s="120" t="s">
        <v>381</v>
      </c>
      <c r="C16" s="3" t="s">
        <v>11</v>
      </c>
      <c r="D16" s="4">
        <v>3</v>
      </c>
      <c r="E16" s="41"/>
      <c r="F16" s="4">
        <f>SUM(D16*E16)</f>
        <v>0</v>
      </c>
    </row>
    <row r="17" spans="1:6" ht="29.1" customHeight="1" x14ac:dyDescent="0.2">
      <c r="A17" s="1" t="s">
        <v>108</v>
      </c>
      <c r="B17" s="120" t="s">
        <v>267</v>
      </c>
      <c r="C17" s="3" t="s">
        <v>11</v>
      </c>
      <c r="D17" s="4">
        <v>1</v>
      </c>
      <c r="E17" s="41"/>
      <c r="F17" s="4">
        <f>SUM(D17*E17)</f>
        <v>0</v>
      </c>
    </row>
    <row r="18" spans="1:6" ht="25.5" x14ac:dyDescent="0.2">
      <c r="A18" s="1" t="s">
        <v>108</v>
      </c>
      <c r="B18" s="120" t="s">
        <v>302</v>
      </c>
      <c r="C18" s="3" t="s">
        <v>11</v>
      </c>
      <c r="D18" s="4">
        <v>1</v>
      </c>
      <c r="E18" s="41"/>
      <c r="F18" s="4">
        <f>SUM(D18*E18)</f>
        <v>0</v>
      </c>
    </row>
    <row r="19" spans="1:6" ht="25.5" x14ac:dyDescent="0.2">
      <c r="A19" s="1" t="s">
        <v>108</v>
      </c>
      <c r="B19" s="120" t="s">
        <v>301</v>
      </c>
      <c r="C19" s="3" t="s">
        <v>11</v>
      </c>
      <c r="D19" s="4">
        <v>7</v>
      </c>
      <c r="E19" s="41"/>
      <c r="F19" s="4">
        <f>SUM(D19*E19)</f>
        <v>0</v>
      </c>
    </row>
    <row r="20" spans="1:6" ht="26.1" customHeight="1" x14ac:dyDescent="0.2">
      <c r="A20" s="1" t="s">
        <v>108</v>
      </c>
      <c r="B20" s="120" t="s">
        <v>303</v>
      </c>
      <c r="C20" s="3" t="s">
        <v>11</v>
      </c>
      <c r="D20" s="4">
        <v>2</v>
      </c>
      <c r="E20" s="41"/>
      <c r="F20" s="4">
        <f>SUM(D20*E20)</f>
        <v>0</v>
      </c>
    </row>
    <row r="21" spans="1:6" ht="15.75" customHeight="1" x14ac:dyDescent="0.2">
      <c r="B21" s="120"/>
      <c r="E21" s="106"/>
      <c r="F21" s="4"/>
    </row>
    <row r="22" spans="1:6" ht="141" customHeight="1" x14ac:dyDescent="0.2">
      <c r="A22" s="19" t="s">
        <v>109</v>
      </c>
      <c r="B22" s="26" t="s">
        <v>347</v>
      </c>
      <c r="C22" s="18"/>
      <c r="D22" s="34"/>
      <c r="E22" s="111"/>
      <c r="F22" s="120"/>
    </row>
    <row r="23" spans="1:6" ht="25.5" x14ac:dyDescent="0.2">
      <c r="A23" s="27" t="s">
        <v>108</v>
      </c>
      <c r="B23" s="35" t="s">
        <v>403</v>
      </c>
      <c r="C23" s="18" t="s">
        <v>11</v>
      </c>
      <c r="D23" s="4">
        <v>1</v>
      </c>
      <c r="E23" s="41"/>
      <c r="F23" s="4">
        <f>SUM(D23*E23)</f>
        <v>0</v>
      </c>
    </row>
    <row r="24" spans="1:6" ht="38.25" customHeight="1" x14ac:dyDescent="0.2">
      <c r="A24" s="27" t="s">
        <v>108</v>
      </c>
      <c r="B24" s="35" t="s">
        <v>402</v>
      </c>
      <c r="C24" s="18" t="s">
        <v>11</v>
      </c>
      <c r="D24" s="4">
        <v>2</v>
      </c>
      <c r="E24" s="41"/>
      <c r="F24" s="4">
        <f>SUM(D24*E24)</f>
        <v>0</v>
      </c>
    </row>
    <row r="25" spans="1:6" ht="65.25" customHeight="1" x14ac:dyDescent="0.2">
      <c r="A25" s="27" t="s">
        <v>108</v>
      </c>
      <c r="B25" s="35" t="s">
        <v>407</v>
      </c>
      <c r="C25" s="18" t="s">
        <v>11</v>
      </c>
      <c r="D25" s="4">
        <v>1</v>
      </c>
      <c r="E25" s="41"/>
      <c r="F25" s="4">
        <f>SUM(D25*E25)</f>
        <v>0</v>
      </c>
    </row>
    <row r="26" spans="1:6" ht="15.75" customHeight="1" x14ac:dyDescent="0.2">
      <c r="A26" s="27"/>
      <c r="B26" s="35"/>
      <c r="C26" s="18"/>
      <c r="F26" s="4"/>
    </row>
    <row r="27" spans="1:6" ht="15.75" customHeight="1" x14ac:dyDescent="0.2">
      <c r="A27" s="19" t="s">
        <v>110</v>
      </c>
      <c r="B27" s="100" t="s">
        <v>346</v>
      </c>
      <c r="C27" s="18"/>
      <c r="F27" s="4"/>
    </row>
    <row r="28" spans="1:6" ht="15.75" customHeight="1" x14ac:dyDescent="0.2">
      <c r="A28" s="19"/>
      <c r="B28" s="100" t="s">
        <v>350</v>
      </c>
      <c r="C28" s="18" t="s">
        <v>81</v>
      </c>
      <c r="D28" s="4">
        <v>1</v>
      </c>
      <c r="E28" s="41"/>
      <c r="F28" s="4">
        <f>SUM(D28*E28)</f>
        <v>0</v>
      </c>
    </row>
    <row r="29" spans="1:6" ht="15.75" customHeight="1" x14ac:dyDescent="0.2">
      <c r="A29" s="27"/>
      <c r="B29" s="35"/>
      <c r="C29" s="18"/>
      <c r="E29" s="2"/>
      <c r="F29" s="4"/>
    </row>
    <row r="30" spans="1:6" ht="66.75" customHeight="1" x14ac:dyDescent="0.2">
      <c r="A30" s="19" t="s">
        <v>304</v>
      </c>
      <c r="B30" s="35" t="s">
        <v>399</v>
      </c>
      <c r="C30" s="18"/>
      <c r="E30" s="2"/>
      <c r="F30" s="4"/>
    </row>
    <row r="31" spans="1:6" ht="63" customHeight="1" x14ac:dyDescent="0.2">
      <c r="A31" s="27" t="s">
        <v>108</v>
      </c>
      <c r="B31" s="35" t="s">
        <v>404</v>
      </c>
      <c r="C31" s="18" t="s">
        <v>11</v>
      </c>
      <c r="D31" s="4">
        <v>1</v>
      </c>
      <c r="E31" s="41"/>
      <c r="F31" s="4">
        <f>SUM(D31*E31)</f>
        <v>0</v>
      </c>
    </row>
    <row r="32" spans="1:6" ht="14.25" x14ac:dyDescent="0.2">
      <c r="A32" s="10"/>
      <c r="B32"/>
      <c r="D32" s="31"/>
      <c r="E32" s="120"/>
      <c r="F32" s="120"/>
    </row>
    <row r="33" spans="1:6" ht="126.75" customHeight="1" x14ac:dyDescent="0.2">
      <c r="A33" s="10" t="s">
        <v>305</v>
      </c>
      <c r="B33" s="17" t="s">
        <v>351</v>
      </c>
      <c r="D33" s="31"/>
      <c r="E33" s="120"/>
      <c r="F33" s="120"/>
    </row>
    <row r="34" spans="1:6" ht="51" x14ac:dyDescent="0.2">
      <c r="A34" s="27" t="s">
        <v>108</v>
      </c>
      <c r="B34" s="35" t="s">
        <v>400</v>
      </c>
      <c r="C34" s="18" t="s">
        <v>11</v>
      </c>
      <c r="D34" s="4">
        <v>2</v>
      </c>
      <c r="E34" s="41"/>
      <c r="F34" s="4">
        <f>SUM(D34*E34)</f>
        <v>0</v>
      </c>
    </row>
    <row r="35" spans="1:6" ht="25.5" x14ac:dyDescent="0.2">
      <c r="A35" s="27" t="s">
        <v>108</v>
      </c>
      <c r="B35" s="35" t="s">
        <v>401</v>
      </c>
      <c r="C35" s="18"/>
      <c r="F35" s="4"/>
    </row>
    <row r="36" spans="1:6" ht="27" customHeight="1" x14ac:dyDescent="0.2">
      <c r="A36" s="27" t="s">
        <v>108</v>
      </c>
      <c r="B36" s="35" t="s">
        <v>405</v>
      </c>
      <c r="C36" s="18" t="s">
        <v>11</v>
      </c>
      <c r="D36" s="4">
        <v>2</v>
      </c>
      <c r="E36" s="41"/>
      <c r="F36" s="4">
        <f>SUM(D36*E36)</f>
        <v>0</v>
      </c>
    </row>
    <row r="37" spans="1:6" ht="63.75" x14ac:dyDescent="0.2">
      <c r="A37" s="27" t="s">
        <v>108</v>
      </c>
      <c r="B37" s="35" t="s">
        <v>408</v>
      </c>
      <c r="C37" s="18" t="s">
        <v>11</v>
      </c>
      <c r="D37" s="4">
        <v>1</v>
      </c>
      <c r="E37" s="41"/>
      <c r="F37" s="4">
        <f t="shared" ref="F37" si="0">SUM(D37*E37)</f>
        <v>0</v>
      </c>
    </row>
    <row r="38" spans="1:6" ht="51" x14ac:dyDescent="0.2">
      <c r="A38" s="27" t="s">
        <v>108</v>
      </c>
      <c r="B38" s="35" t="s">
        <v>406</v>
      </c>
      <c r="C38" s="18" t="s">
        <v>11</v>
      </c>
      <c r="D38" s="4">
        <v>2</v>
      </c>
      <c r="E38" s="41"/>
      <c r="F38" s="4">
        <f>SUM(D38*E38)</f>
        <v>0</v>
      </c>
    </row>
    <row r="39" spans="1:6" x14ac:dyDescent="0.2">
      <c r="B39" s="36"/>
      <c r="C39" s="22"/>
      <c r="D39" s="23"/>
      <c r="E39" s="23"/>
      <c r="F39" s="58"/>
    </row>
    <row r="40" spans="1:6" ht="15.75" x14ac:dyDescent="0.25">
      <c r="A40" s="8"/>
      <c r="B40" s="74" t="s">
        <v>111</v>
      </c>
      <c r="C40" s="13"/>
      <c r="D40" s="12"/>
      <c r="E40" s="13"/>
      <c r="F40" s="73">
        <f>SUM(F16:F39)</f>
        <v>0</v>
      </c>
    </row>
    <row r="41" spans="1:6" x14ac:dyDescent="0.2">
      <c r="B41" s="118"/>
    </row>
    <row r="42" spans="1:6" x14ac:dyDescent="0.2">
      <c r="B42" s="118" t="s">
        <v>101</v>
      </c>
    </row>
    <row r="43" spans="1:6" ht="13.9" customHeight="1" x14ac:dyDescent="0.2">
      <c r="B43" s="122" t="s">
        <v>424</v>
      </c>
      <c r="C43" s="122"/>
      <c r="D43" s="122"/>
      <c r="E43" s="122"/>
      <c r="F43" s="122"/>
    </row>
    <row r="44" spans="1:6" ht="27" customHeight="1" x14ac:dyDescent="0.2">
      <c r="B44" s="123" t="s">
        <v>166</v>
      </c>
      <c r="C44" s="124"/>
      <c r="D44" s="124"/>
      <c r="E44" s="124"/>
      <c r="F44" s="124"/>
    </row>
    <row r="45" spans="1:6" ht="25.9" customHeight="1" x14ac:dyDescent="0.2">
      <c r="B45" s="129" t="s">
        <v>425</v>
      </c>
      <c r="C45" s="129"/>
      <c r="D45" s="129"/>
      <c r="E45" s="129"/>
      <c r="F45" s="129"/>
    </row>
    <row r="46" spans="1:6" ht="12.75" customHeight="1" x14ac:dyDescent="0.2">
      <c r="B46" s="128"/>
      <c r="C46" s="128"/>
      <c r="D46" s="128"/>
      <c r="E46" s="128"/>
      <c r="F46" s="128"/>
    </row>
  </sheetData>
  <sheetProtection algorithmName="SHA-512" hashValue="4qbFOm3RpP8aH3dHzQ6fEP6eHKcyz7mHXdT01mRjVt/O0NXBJVODnvyt1kbUN8utA+xDj+fM4CSiEVTWWbJmnA==" saltValue="GIhLkhvXwhN5dDRg431DAQ==" spinCount="100000" sheet="1" objects="1" scenarios="1"/>
  <mergeCells count="12">
    <mergeCell ref="B46:F46"/>
    <mergeCell ref="B3:F3"/>
    <mergeCell ref="B4:F4"/>
    <mergeCell ref="B5:F5"/>
    <mergeCell ref="B6:F6"/>
    <mergeCell ref="B43:F43"/>
    <mergeCell ref="B45:F45"/>
    <mergeCell ref="B7:F7"/>
    <mergeCell ref="B8:F8"/>
    <mergeCell ref="B10:F10"/>
    <mergeCell ref="B9:F9"/>
    <mergeCell ref="B44:F44"/>
  </mergeCells>
  <pageMargins left="0.98425196850393704" right="0.19685039370078741" top="0.78740157480314965" bottom="0.78740157480314965" header="0.19685039370078741" footer="0.19685039370078741"/>
  <pageSetup paperSize="9" firstPageNumber="0" orientation="portrait" horizontalDpi="300" verticalDpi="300" r:id="rId1"/>
  <headerFooter alignWithMargins="0">
    <oddHeader>&amp;L&amp;9&amp;F&amp;R&amp;9&amp;A</oddHeader>
    <oddFooter>&amp;R&amp;9&amp;P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26</vt:i4>
      </vt:variant>
    </vt:vector>
  </HeadingPairs>
  <TitlesOfParts>
    <vt:vector size="43" baseType="lpstr">
      <vt:lpstr>1-Pripravljalna dela</vt:lpstr>
      <vt:lpstr>2-Zemeljska dela</vt:lpstr>
      <vt:lpstr>3-Betonska dela</vt:lpstr>
      <vt:lpstr>4-Zidarska dela</vt:lpstr>
      <vt:lpstr>5-Tesarska-suhomont.dela</vt:lpstr>
      <vt:lpstr>6-Montažna dela</vt:lpstr>
      <vt:lpstr>7-Kleparska dela </vt:lpstr>
      <vt:lpstr>8-Ključavničarska dela</vt:lpstr>
      <vt:lpstr>9-Okna vrata</vt:lpstr>
      <vt:lpstr>10-Tlakarska dela</vt:lpstr>
      <vt:lpstr>11-keramičarska dela</vt:lpstr>
      <vt:lpstr>12-Slikoplesk. dela</vt:lpstr>
      <vt:lpstr>13-Fasaderska dela</vt:lpstr>
      <vt:lpstr>14-zunanja ureditev</vt:lpstr>
      <vt:lpstr>15-razna dela</vt:lpstr>
      <vt:lpstr>16-Nepredvidena dela</vt:lpstr>
      <vt:lpstr>17-Rekapitulacija</vt:lpstr>
      <vt:lpstr>Excel_BuiltIn_Print_Area_1</vt:lpstr>
      <vt:lpstr>Excel_BuiltIn_Print_Area_10</vt:lpstr>
      <vt:lpstr>Excel_BuiltIn_Print_Area_12</vt:lpstr>
      <vt:lpstr>Excel_BuiltIn_Print_Area_13</vt:lpstr>
      <vt:lpstr>Excel_BuiltIn_Print_Area_15</vt:lpstr>
      <vt:lpstr>Excel_BuiltIn_Print_Area_16</vt:lpstr>
      <vt:lpstr>Excel_BuiltIn_Print_Area_2</vt:lpstr>
      <vt:lpstr>Excel_BuiltIn_Print_Area_3</vt:lpstr>
      <vt:lpstr>Excel_BuiltIn_Print_Area_5</vt:lpstr>
      <vt:lpstr>Excel_BuiltIn_Print_Area_6</vt:lpstr>
      <vt:lpstr>Excel_BuiltIn_Print_Area_8</vt:lpstr>
      <vt:lpstr>'10-Tlakarska dela'!Print_Area</vt:lpstr>
      <vt:lpstr>'11-keramičarska dela'!Print_Area</vt:lpstr>
      <vt:lpstr>'12-Slikoplesk. dela'!Print_Area</vt:lpstr>
      <vt:lpstr>'13-Fasaderska dela'!Print_Area</vt:lpstr>
      <vt:lpstr>'15-razna dela'!Print_Area</vt:lpstr>
      <vt:lpstr>'16-Nepredvidena dela'!Print_Area</vt:lpstr>
      <vt:lpstr>'17-Rekapitulacija'!Print_Area</vt:lpstr>
      <vt:lpstr>'2-Zemeljska dela'!Print_Area</vt:lpstr>
      <vt:lpstr>'3-Betonska dela'!Print_Area</vt:lpstr>
      <vt:lpstr>'4-Zidarska dela'!Print_Area</vt:lpstr>
      <vt:lpstr>'5-Tesarska-suhomont.dela'!Print_Area</vt:lpstr>
      <vt:lpstr>'6-Montažna dela'!Print_Area</vt:lpstr>
      <vt:lpstr>'7-Kleparska dela '!Print_Area</vt:lpstr>
      <vt:lpstr>'8-Ključavničarska dela'!Print_Area</vt:lpstr>
      <vt:lpstr>'9-Okna vrata'!Print_Area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sinko</dc:creator>
  <cp:lastModifiedBy>Simon Prebil</cp:lastModifiedBy>
  <cp:lastPrinted>2026-05-06T23:28:25Z</cp:lastPrinted>
  <dcterms:created xsi:type="dcterms:W3CDTF">2026-01-01T14:01:22Z</dcterms:created>
  <dcterms:modified xsi:type="dcterms:W3CDTF">2026-07-14T07:50:36Z</dcterms:modified>
</cp:coreProperties>
</file>