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S:\Projekti\PLOČNIK SENOŽETI ČEZ STAJSKI POTOK\POPISI ZA JN 1. FAZA\"/>
    </mc:Choice>
  </mc:AlternateContent>
  <xr:revisionPtr revIDLastSave="0" documentId="13_ncr:1_{F0A1D017-ED09-41AE-AA3D-DEEF07B9E2E1}" xr6:coauthVersionLast="36" xr6:coauthVersionMax="47" xr10:uidLastSave="{00000000-0000-0000-0000-000000000000}"/>
  <bookViews>
    <workbookView xWindow="-120" yWindow="-120" windowWidth="29040" windowHeight="15720" tabRatio="878" xr2:uid="{00000000-000D-0000-FFFF-FFFF00000000}"/>
  </bookViews>
  <sheets>
    <sheet name="REKAPITULACIJA" sheetId="1" r:id="rId1"/>
    <sheet name="1. PREDDELA" sheetId="2" r:id="rId2"/>
    <sheet name="2. ZEMELJSKA DELA" sheetId="4" r:id="rId3"/>
    <sheet name="3. VOZIŠČNE KONSTRUKCIJE" sheetId="5" r:id="rId4"/>
    <sheet name="4. ODVODNJAVANJE" sheetId="6" r:id="rId5"/>
    <sheet name="5. GRADBENA IN OBRTNIŠKA DELA" sheetId="7" r:id="rId6"/>
    <sheet name="6. OPREMA CEST" sheetId="8" r:id="rId7"/>
    <sheet name="7. TUJE STORITVE" sheetId="9" r:id="rId8"/>
  </sheets>
  <definedNames>
    <definedName name="_1.1_Geodetska_dela">'1. PREDDELA'!$B$6</definedName>
    <definedName name="_1.2_Čiščenje_terena">'1. PREDDELA'!$B$12</definedName>
    <definedName name="_1.3_Ostala_preddela">'1. PREDDELA'!$B$26</definedName>
    <definedName name="_1.4_Predhodna_dela">'1. PREDDELA'!#REF!</definedName>
    <definedName name="_1.5_Geotehnika_predorov">'1. PREDDELA'!#REF!</definedName>
    <definedName name="_1_preddela_1" localSheetId="1">'1. PREDDELA'!$B$2:$F$31</definedName>
    <definedName name="_1_preddela_1" localSheetId="2">'2. ZEMELJSKA DELA'!$B$2:$F$43</definedName>
    <definedName name="_1_preddela_1" localSheetId="3">'3. VOZIŠČNE KONSTRUKCIJE'!$B$2:$F$6</definedName>
    <definedName name="_1_preddela_1" localSheetId="4">'4. ODVODNJAVANJE'!$B$2:$F$12</definedName>
    <definedName name="_1_preddela_1" localSheetId="5">'5. GRADBENA IN OBRTNIŠKA DELA'!$B$2:$F$45</definedName>
    <definedName name="_1_preddela_1" localSheetId="6">'6. OPREMA CEST'!$B$2:$F$6</definedName>
    <definedName name="_1_preddela_1" localSheetId="7">'7. TUJE STORITVE'!$B$2:$F$17</definedName>
    <definedName name="_1_preddela_2" localSheetId="4">'4. ODVODNJAVANJE'!$B$2:$F$10</definedName>
    <definedName name="_2.1_Izkopi">'2. ZEMELJSKA DELA'!$B$6</definedName>
    <definedName name="_2.2_Planum_tal">'2. ZEMELJSKA DELA'!$B$14</definedName>
    <definedName name="_2.3_ločilne_drenažne_filterske_plasti">'2. ZEMELJSKA DELA'!$B$18</definedName>
    <definedName name="_2.4_Nasipi_zasipi_posteljica">'2. ZEMELJSKA DELA'!$B$22</definedName>
    <definedName name="_2.5_Brežine_zelenice">'2. ZEMELJSKA DELA'!$B$27</definedName>
    <definedName name="_2.6_Armiranje_zemljin">'2. ZEMELJSKA DELA'!#REF!</definedName>
    <definedName name="_2.7_Koli_vodnjaki">'2. ZEMELJSKA DELA'!#REF!</definedName>
    <definedName name="_2.8_Zagatne_stene">'2. ZEMELJSKA DELA'!$B$33</definedName>
    <definedName name="_2.9_prevozi_razprostiranje_materiala">'2. ZEMELJSKA DELA'!$B$37</definedName>
    <definedName name="_3.1_Nosilne_plasti">'3. VOZIŠČNE KONSTRUKCIJE'!#REF!</definedName>
    <definedName name="_3.2_Obrabne_plasti">'3. VOZIŠČNE KONSTRUKCIJE'!#REF!</definedName>
    <definedName name="_3.3_Vezane_nosilne_in_obrabne_plasti">'3. VOZIŠČNE KONSTRUKCIJE'!#REF!</definedName>
    <definedName name="_3.4_Tlakovane_obrabne_plasti">'3. VOZIŠČNE KONSTRUKCIJE'!#REF!</definedName>
    <definedName name="_3.5_Robni_elementi_vozišč">'3. VOZIŠČNE KONSTRUKCIJE'!#REF!</definedName>
    <definedName name="_4.1_Površinsko_odvodnjavanje">'4. ODVODNJAVANJE'!#REF!</definedName>
    <definedName name="_4.2_Drenaže">'4. ODVODNJAVANJE'!#REF!</definedName>
    <definedName name="_4.3_Kanalizacija">'4. ODVODNJAVANJE'!#REF!</definedName>
    <definedName name="_4.4_Jaški">'4. ODVODNJAVANJE'!#REF!</definedName>
    <definedName name="_4.5_Prepusti">'4. ODVODNJAVANJE'!#REF!</definedName>
    <definedName name="_4.6_Izviri_ponikovalnice">'4. ODVODNJAVANJE'!#REF!</definedName>
    <definedName name="_5.1_Tesarska_dela">'5. GRADBENA IN OBRTNIŠKA DELA'!$B$6</definedName>
    <definedName name="_5.2_Dela_z_jeklom">'5. GRADBENA IN OBRTNIŠKA DELA'!$B$12</definedName>
    <definedName name="_5.3_Dela_z_cementnim_betonom">'5. GRADBENA IN OBRTNIŠKA DELA'!$B$19</definedName>
    <definedName name="_5.4_Zidarska_dela">'5. GRADBENA IN OBRTNIŠKA DELA'!#REF!</definedName>
    <definedName name="_5.5_Popravila_objektov">'5. GRADBENA IN OBRTNIŠKA DELA'!#REF!</definedName>
    <definedName name="_5.6_Sidranje">'5. GRADBENA IN OBRTNIŠKA DELA'!#REF!</definedName>
    <definedName name="_5.7_Injektiranje">'5. GRADBENA IN OBRTNIŠKA DELA'!#REF!</definedName>
    <definedName name="_5.8_Ključavničarska_dela">'5. GRADBENA IN OBRTNIŠKA DELA'!$B$32</definedName>
    <definedName name="_5.9_Zaščitna_dela">'5. GRADBENA IN OBRTNIŠKA DELA'!$B$36</definedName>
    <definedName name="_6.1_Pokončna_oprema_cest">'6. OPREMA CEST'!#REF!</definedName>
    <definedName name="_6.2_Označbe_na_voziščihž">'6. OPREMA CEST'!#REF!</definedName>
    <definedName name="_6.3_Oprema_za_vodenje_prometa">'6. OPREMA CEST'!#REF!</definedName>
    <definedName name="_6.4_Oprema_za_zavarovanje_prometa">'6. OPREMA CEST'!#REF!</definedName>
    <definedName name="_6.5_Oprema_za_zimsko_službo">'6. OPREMA CEST'!#REF!</definedName>
    <definedName name="_6.6_Druga_prometna_oprema_cest">'6. OPREMA CEST'!#REF!</definedName>
    <definedName name="_7.2_Elektroenergetski_vodi">'7. TUJE STORITVE'!#REF!</definedName>
    <definedName name="_7.3_Telekomunikacijske_naprave">'7. TUJE STORITVE'!#REF!</definedName>
    <definedName name="_7.4_klic_v_sili">'7. TUJE STORITVE'!#REF!</definedName>
    <definedName name="_7.5_Javna_razsvetljava">'7. TUJE STORITVE'!#REF!</definedName>
    <definedName name="_7.6_vodovod">'7. TUJE STORITVE'!$B$6</definedName>
    <definedName name="_7.7_Plinovod">'7. TUJE STORITVE'!#REF!</definedName>
    <definedName name="_7.8_Železnica">'7. TUJE STORITVE'!#REF!</definedName>
    <definedName name="_7.9_Preizkusi_nadzor_dokumentacija">'7. TUJE STORITVE'!$B$10</definedName>
    <definedName name="_xlnm._FilterDatabase" localSheetId="1" hidden="1">'1. PREDDELA'!$E$1:$G$31</definedName>
    <definedName name="_xlnm._FilterDatabase" localSheetId="2" hidden="1">'2. ZEMELJSKA DELA'!$E$1:$G$43</definedName>
    <definedName name="_xlnm._FilterDatabase" localSheetId="3" hidden="1">'3. VOZIŠČNE KONSTRUKCIJE'!$E$1:$G$6</definedName>
    <definedName name="_xlnm._FilterDatabase" localSheetId="4" hidden="1">'4. ODVODNJAVANJE'!$E$1:$G$12</definedName>
    <definedName name="_xlnm._FilterDatabase" localSheetId="5" hidden="1">'5. GRADBENA IN OBRTNIŠKA DELA'!$E$1:$G$45</definedName>
    <definedName name="_xlnm._FilterDatabase" localSheetId="6" hidden="1">'6. OPREMA CEST'!$E$1:$G$6</definedName>
    <definedName name="_xlnm._FilterDatabase" localSheetId="7" hidden="1">'7. TUJE STORITVE'!$E$1:$G$17</definedName>
    <definedName name="Čiščenje_terena_1.2">'1. PREDDELA'!$B$12</definedName>
    <definedName name="Geodetska_dela_1.1">'1. PREDDELA'!$B$6</definedName>
    <definedName name="iri_ponikovalnice">'4. ODVODNJAVANJE'!#REF!</definedName>
    <definedName name="Ostala_preddela_1.3">'1. PREDDELA'!$B$26</definedName>
    <definedName name="Predhodna_dela_1.4">'1. PREDDELA'!#REF!</definedName>
    <definedName name="_xlnm.Print_Area" localSheetId="1">'1. PREDDELA'!$A$1:$G$31</definedName>
    <definedName name="_xlnm.Print_Area" localSheetId="2">'2. ZEMELJSKA DELA'!$A$1:$G$43</definedName>
    <definedName name="_xlnm.Print_Area" localSheetId="3">'3. VOZIŠČNE KONSTRUKCIJE'!$A$1:$G$6</definedName>
    <definedName name="_xlnm.Print_Area" localSheetId="4">'4. ODVODNJAVANJE'!$A$1:$G$10</definedName>
    <definedName name="_xlnm.Print_Area" localSheetId="5">'5. GRADBENA IN OBRTNIŠKA DELA'!$A$1:$G$45</definedName>
    <definedName name="_xlnm.Print_Area" localSheetId="6">'6. OPREMA CEST'!$A$1:$G$6</definedName>
    <definedName name="_xlnm.Print_Area" localSheetId="7">'7. TUJE STORITVE'!$A$1:$G$17</definedName>
    <definedName name="_xlnm.Print_Area" localSheetId="0">REKAPITULACIJA!$A$1:$I$39</definedName>
    <definedName name="_xlnm.Print_Titles" localSheetId="1">'1. PREDDELA'!$1:$3</definedName>
    <definedName name="_xlnm.Print_Titles" localSheetId="2">'2. ZEMELJSKA DELA'!$1:$3</definedName>
    <definedName name="_xlnm.Print_Titles" localSheetId="3">'3. VOZIŠČNE KONSTRUKCIJE'!$1:$3</definedName>
    <definedName name="_xlnm.Print_Titles" localSheetId="4">'4. ODVODNJAVANJE'!$1:$3</definedName>
    <definedName name="_xlnm.Print_Titles" localSheetId="5">'5. GRADBENA IN OBRTNIŠKA DELA'!$1:$3</definedName>
    <definedName name="_xlnm.Print_Titles" localSheetId="6">'6. OPREMA CEST'!$1:$3</definedName>
    <definedName name="_xlnm.Print_Titles" localSheetId="7">'7. TUJE STORITVE'!$1:$3</definedName>
    <definedName name="za_zavarovanje_prometa">'6. OPREMA CEST'!#REF!</definedName>
  </definedNames>
  <calcPr calcId="191029"/>
</workbook>
</file>

<file path=xl/calcChain.xml><?xml version="1.0" encoding="utf-8"?>
<calcChain xmlns="http://schemas.openxmlformats.org/spreadsheetml/2006/main">
  <c r="H27" i="1" l="1"/>
  <c r="H21" i="1"/>
  <c r="E27" i="7" l="1"/>
  <c r="E24" i="7"/>
  <c r="E29" i="7" s="1"/>
  <c r="E8" i="7"/>
  <c r="E9" i="7"/>
  <c r="E29" i="4"/>
  <c r="E30" i="4"/>
  <c r="E10" i="7"/>
  <c r="G10" i="7"/>
  <c r="E17" i="7"/>
  <c r="E15" i="7"/>
  <c r="E14" i="7"/>
  <c r="E23" i="7"/>
  <c r="E28" i="7" s="1"/>
  <c r="E20" i="4"/>
  <c r="E25" i="4"/>
  <c r="E31" i="4"/>
  <c r="E21" i="7"/>
  <c r="E22" i="7"/>
  <c r="E8" i="6"/>
  <c r="E16" i="4"/>
  <c r="E12" i="4"/>
  <c r="N4" i="4"/>
  <c r="E24" i="4" s="1"/>
  <c r="E35" i="4"/>
  <c r="E24" i="2"/>
  <c r="E41" i="4" s="1"/>
  <c r="E8" i="2"/>
  <c r="E16" i="7"/>
  <c r="E30" i="7" l="1"/>
  <c r="E26" i="7"/>
  <c r="E25" i="7"/>
  <c r="N7" i="4"/>
  <c r="E8" i="4"/>
  <c r="E9" i="4" l="1"/>
  <c r="E11" i="4"/>
  <c r="E10" i="4"/>
  <c r="E40" i="4" l="1"/>
  <c r="E39" i="4" s="1"/>
  <c r="G15" i="9"/>
  <c r="G8" i="6" l="1"/>
  <c r="G10" i="6" s="1"/>
  <c r="H23" i="1" s="1"/>
  <c r="E7" i="6" l="1"/>
  <c r="E6" i="6"/>
  <c r="E5" i="6"/>
  <c r="G35" i="4" l="1"/>
  <c r="G10" i="2" l="1"/>
  <c r="O30" i="4" l="1"/>
  <c r="O28" i="4" l="1"/>
  <c r="O29" i="4" l="1"/>
  <c r="E15" i="4" l="1"/>
  <c r="E18" i="4"/>
  <c r="E5" i="4" l="1"/>
  <c r="G17" i="7" l="1"/>
  <c r="G16" i="7"/>
  <c r="G12" i="9" l="1"/>
  <c r="G13" i="9"/>
  <c r="G8" i="9"/>
  <c r="G40" i="7"/>
  <c r="G41" i="7"/>
  <c r="G42" i="7"/>
  <c r="G43" i="7"/>
  <c r="G34" i="7"/>
  <c r="G21" i="7"/>
  <c r="G22" i="7"/>
  <c r="G23" i="7"/>
  <c r="G24" i="7"/>
  <c r="G25" i="7"/>
  <c r="G26" i="7"/>
  <c r="G27" i="7"/>
  <c r="G28" i="7"/>
  <c r="G29" i="7"/>
  <c r="G30" i="7"/>
  <c r="G14" i="7"/>
  <c r="G15" i="7"/>
  <c r="G8" i="7"/>
  <c r="G9" i="7"/>
  <c r="G39" i="4"/>
  <c r="G40" i="4"/>
  <c r="G41" i="4"/>
  <c r="G29" i="4"/>
  <c r="G30" i="4"/>
  <c r="G31" i="4"/>
  <c r="G24" i="4"/>
  <c r="G25" i="4"/>
  <c r="G20" i="4"/>
  <c r="G16" i="4"/>
  <c r="G8" i="4"/>
  <c r="G9" i="4"/>
  <c r="G10" i="4"/>
  <c r="G11" i="4"/>
  <c r="G12" i="4"/>
  <c r="G29" i="2"/>
  <c r="G24" i="2"/>
  <c r="G15" i="2"/>
  <c r="G16" i="2"/>
  <c r="G17" i="2"/>
  <c r="G18" i="2"/>
  <c r="G19" i="2"/>
  <c r="G20" i="2"/>
  <c r="G8" i="2"/>
  <c r="G9" i="2"/>
  <c r="E11" i="9"/>
  <c r="E10" i="9"/>
  <c r="E9" i="9"/>
  <c r="E7" i="9"/>
  <c r="E6" i="9"/>
  <c r="E39" i="7"/>
  <c r="E38" i="7"/>
  <c r="E37" i="7"/>
  <c r="E33" i="7"/>
  <c r="E32" i="7"/>
  <c r="E31" i="7"/>
  <c r="E20" i="7"/>
  <c r="E19" i="7"/>
  <c r="E18" i="7"/>
  <c r="E13" i="7"/>
  <c r="E12" i="7"/>
  <c r="E11" i="7"/>
  <c r="E7" i="7"/>
  <c r="E6" i="7"/>
  <c r="E5" i="7"/>
  <c r="E38" i="4"/>
  <c r="E37" i="4"/>
  <c r="E36" i="4"/>
  <c r="E34" i="4"/>
  <c r="E33" i="4"/>
  <c r="E32" i="4"/>
  <c r="E28" i="4"/>
  <c r="E27" i="4"/>
  <c r="E26" i="4"/>
  <c r="E14" i="4"/>
  <c r="E13" i="4"/>
  <c r="E7" i="4"/>
  <c r="E6" i="4"/>
  <c r="E28" i="2"/>
  <c r="E27" i="2"/>
  <c r="E23" i="2"/>
  <c r="E21" i="2"/>
  <c r="E22" i="2"/>
  <c r="E14" i="2"/>
  <c r="E13" i="2"/>
  <c r="E7" i="2"/>
  <c r="E6" i="2"/>
  <c r="E5" i="2"/>
  <c r="G31" i="2" l="1"/>
  <c r="H17" i="1" s="1"/>
  <c r="G43" i="4"/>
  <c r="H19" i="1" s="1"/>
  <c r="G45" i="7"/>
  <c r="H25" i="1" s="1"/>
  <c r="G14" i="9"/>
  <c r="G17" i="9" s="1"/>
  <c r="H29" i="1" s="1"/>
  <c r="H31" i="1" l="1"/>
  <c r="H34" i="1" s="1"/>
  <c r="H36" i="1" s="1"/>
  <c r="H3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_preddela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2" xr16:uid="{00000000-0015-0000-FFFF-FFFF01000000}" name="1_preddela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3" xr16:uid="{00000000-0015-0000-FFFF-FFFF02000000}" name="1_preddela1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4" xr16:uid="{00000000-0015-0000-FFFF-FFFF03000000}" name="1_preddela11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5" xr16:uid="{00000000-0015-0000-FFFF-FFFF04000000}" name="1_preddela1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6" xr16:uid="{00000000-0015-0000-FFFF-FFFF05000000}" name="1_preddela12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7" xr16:uid="{00000000-0015-0000-FFFF-FFFF06000000}" name="1_preddela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8" xr16:uid="{00000000-0015-0000-FFFF-FFFF07000000}" name="1_preddela3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<sst xmlns="http://schemas.openxmlformats.org/spreadsheetml/2006/main" count="291" uniqueCount="196">
  <si>
    <t>1.   PREDDELA</t>
  </si>
  <si>
    <t>km</t>
  </si>
  <si>
    <t>11 141</t>
  </si>
  <si>
    <t>kos</t>
  </si>
  <si>
    <t>11 312</t>
  </si>
  <si>
    <t>ura</t>
  </si>
  <si>
    <t>m2</t>
  </si>
  <si>
    <t>12 132</t>
  </si>
  <si>
    <t>12 151</t>
  </si>
  <si>
    <t>12 152</t>
  </si>
  <si>
    <t>12 163</t>
  </si>
  <si>
    <t>12 166</t>
  </si>
  <si>
    <t>12 181</t>
  </si>
  <si>
    <t>m1</t>
  </si>
  <si>
    <t>kg</t>
  </si>
  <si>
    <t>m3</t>
  </si>
  <si>
    <t>12 496</t>
  </si>
  <si>
    <t>13 211</t>
  </si>
  <si>
    <t>1.1 Geodetska dela</t>
  </si>
  <si>
    <t>1.2  Čiščenje terena</t>
  </si>
  <si>
    <t>1.2.1 Odstranitev grmovja, dreves, vej in panjev</t>
  </si>
  <si>
    <t>1.2.4 Porušitev in odstranitev objektov</t>
  </si>
  <si>
    <t>1.3 Ostala preddela</t>
  </si>
  <si>
    <t>1.3.2 Pripravljalna dela pri objektih</t>
  </si>
  <si>
    <t>šifra</t>
  </si>
  <si>
    <t>opis dela</t>
  </si>
  <si>
    <t>količina</t>
  </si>
  <si>
    <t>cena</t>
  </si>
  <si>
    <t>znesek</t>
  </si>
  <si>
    <t>enota</t>
  </si>
  <si>
    <t>REKAPITULACIJA  GRADBENIH STROŠKOV</t>
  </si>
  <si>
    <t>skupaj</t>
  </si>
  <si>
    <t xml:space="preserve">S K U P A J                    </t>
  </si>
  <si>
    <t xml:space="preserve">vrednosti v postavkah množi  s faktorjem </t>
  </si>
  <si>
    <t xml:space="preserve">Obnova in zavarovanje zakoličbe osi vodotoka
</t>
  </si>
  <si>
    <t xml:space="preserve">Postavitev in zavarovanje profilov za zakoličbo objekta s površino nad 51 do 100 m2
</t>
  </si>
  <si>
    <t xml:space="preserve">Posek in odstranitev drevesa z deblom premera 31 do 50 cm ter odstranitev vej
</t>
  </si>
  <si>
    <t>SKUPAJ PREDDELA:</t>
  </si>
  <si>
    <t>2.   ZEMELJSKA DELA</t>
  </si>
  <si>
    <t>21 114</t>
  </si>
  <si>
    <t>2.2  Planum temeljnih tal</t>
  </si>
  <si>
    <t>21 313</t>
  </si>
  <si>
    <t>21 314</t>
  </si>
  <si>
    <t>21 324</t>
  </si>
  <si>
    <t>21 997</t>
  </si>
  <si>
    <t>22 112</t>
  </si>
  <si>
    <t>23 312</t>
  </si>
  <si>
    <t>24 112</t>
  </si>
  <si>
    <t>24 461</t>
  </si>
  <si>
    <t>25 112</t>
  </si>
  <si>
    <t>25 151</t>
  </si>
  <si>
    <t>25 282</t>
  </si>
  <si>
    <t>t</t>
  </si>
  <si>
    <t>29 123</t>
  </si>
  <si>
    <t>29 152</t>
  </si>
  <si>
    <t>29 154</t>
  </si>
  <si>
    <t>SKUPAJ ZEMELJSKA DELA:</t>
  </si>
  <si>
    <t xml:space="preserve">Ureditev planuma temeljnih tal vezljive zemljine – 3. kategorije
</t>
  </si>
  <si>
    <t xml:space="preserve">Dobava in vgraditev geotekstilije za ločilno plast (po načrtu), natezna trdnost nad 12 do 14 kN/m2
</t>
  </si>
  <si>
    <t>2.1  Izkopi</t>
  </si>
  <si>
    <t>2.3  Ločilne, drenažne in filtrske plasti ter delovni plato</t>
  </si>
  <si>
    <t>2.4  Nasipi, zasipi, klini, posteljica in glinasti naboj</t>
  </si>
  <si>
    <t>2.5  Brežine in zelenice</t>
  </si>
  <si>
    <t>2.8  Zagatne stene</t>
  </si>
  <si>
    <t>2.9  Prevozi, razprostiranje in ureditev deponij materiala</t>
  </si>
  <si>
    <t>3.   VOZIŠČNE KONSTRUKCIJE</t>
  </si>
  <si>
    <t>4.5  Prepusti</t>
  </si>
  <si>
    <t xml:space="preserve">m1 </t>
  </si>
  <si>
    <t>45 192</t>
  </si>
  <si>
    <t>5.   GRADBENA IN OBRTNIŠKA DELA</t>
  </si>
  <si>
    <t>5.1  Tesarska dela</t>
  </si>
  <si>
    <t>51 211</t>
  </si>
  <si>
    <t>51 331</t>
  </si>
  <si>
    <t>5.2  Dela z jeklom za ojačitev</t>
  </si>
  <si>
    <t>52 221</t>
  </si>
  <si>
    <t>52 222</t>
  </si>
  <si>
    <t>5.3  Dela s cementnim betonom</t>
  </si>
  <si>
    <t>53 116</t>
  </si>
  <si>
    <t>53 118</t>
  </si>
  <si>
    <t>53 137</t>
  </si>
  <si>
    <t>53 139</t>
  </si>
  <si>
    <t>53 614</t>
  </si>
  <si>
    <t>53 621</t>
  </si>
  <si>
    <t>53 622</t>
  </si>
  <si>
    <t>53 631</t>
  </si>
  <si>
    <t>53 634</t>
  </si>
  <si>
    <t>53 672</t>
  </si>
  <si>
    <t>5.9  Zaščitna dela</t>
  </si>
  <si>
    <t>5.8  Ključavničarska dela in dela v jeklu</t>
  </si>
  <si>
    <t>58 211</t>
  </si>
  <si>
    <t xml:space="preserve">m2 </t>
  </si>
  <si>
    <t>5.9.2 Hidroizolacije</t>
  </si>
  <si>
    <t>59 414</t>
  </si>
  <si>
    <t>59 431</t>
  </si>
  <si>
    <t>59 443</t>
  </si>
  <si>
    <t>59 652</t>
  </si>
  <si>
    <t>SKUPAJ GRADBENA IN OBRTNIŠKA DELA:</t>
  </si>
  <si>
    <t>SKUPAJ VOZIŠČNE KONSTRUKCIJE:</t>
  </si>
  <si>
    <t xml:space="preserve">Dobava in vgraditev cementnega betona C12/15 v prerez do 0,15 m3/m2-m1
</t>
  </si>
  <si>
    <t xml:space="preserve">Dobava in vgraditev cementnega betona C12/15 v prerez od 0,31 do 0,50 m3/m2-m1
</t>
  </si>
  <si>
    <t xml:space="preserve">Doplačilo za zagotovitev kvalitete cementnega betona C 30/37 za stopnjo izpostavljenosti XC4
</t>
  </si>
  <si>
    <t xml:space="preserve">Doplačilo za zagotovitev kvalitete cementnega betona C 30/37 za stopnjo izpostavljenosti XD1
</t>
  </si>
  <si>
    <t xml:space="preserve">Doplačilo za zagotovitev kvalitete cementnega betona C 30/37 za stopnjo izpostavljenosti XD2
</t>
  </si>
  <si>
    <t xml:space="preserve">Doplačilo za zagotovitev kvalitete cementnega betona C 30/37 za stopnjo izpostavljenosti XF1
</t>
  </si>
  <si>
    <t xml:space="preserve">Doplačilo za zagotovitev kvalitete cementnega betona C 30/37 za stopnjo izpostavljenosti XF3
</t>
  </si>
  <si>
    <t xml:space="preserve">Doplačilo za zagotovitev kvalitete cementnega betona C 30/37 za stopnjo izpostavljenosti PV-II
</t>
  </si>
  <si>
    <t xml:space="preserve">Priprava podlage – površine cementnega betona s peskanjem
</t>
  </si>
  <si>
    <t xml:space="preserve">Izdelava sprijemne plasti – osnovnega premaza z reakcijsko smolo v dveh ali več slojih in količini do 0,6 kg/m2
</t>
  </si>
  <si>
    <t xml:space="preserve">Posip sprijemne plasti – osnovnega premaza s posušenim kremenčevim peskom zrnavosti 0,5/1 mm, količina 1,6 do 2,0 kg/m2
</t>
  </si>
  <si>
    <t xml:space="preserve">Izdelava hidroizolacije z bitumenskimi trakovi, debelimi 4,5 ali 5 mm, sprijemna plast iz epoksidne malte 1:4 in posip s kremenčevim peskom
</t>
  </si>
  <si>
    <t>SKUPAJ OPREMA CEST:</t>
  </si>
  <si>
    <t>6.   OPREMA CEST</t>
  </si>
  <si>
    <t>SKUPAJ TUJE STORITVE:</t>
  </si>
  <si>
    <t>7.   TUJE STORITVE</t>
  </si>
  <si>
    <t>7.6  Vodovodi</t>
  </si>
  <si>
    <t>76 111</t>
  </si>
  <si>
    <t>7.9  Preizkusi, nadzor in tehnična dokumentacija</t>
  </si>
  <si>
    <t>79 311</t>
  </si>
  <si>
    <t>ur</t>
  </si>
  <si>
    <t>79 351</t>
  </si>
  <si>
    <t>79 514</t>
  </si>
  <si>
    <t>1.    PREDDELA</t>
  </si>
  <si>
    <t>2.    ZEMELJSKA DELA</t>
  </si>
  <si>
    <t>3.    VOZIŠČNE KONSTRUKCIJE</t>
  </si>
  <si>
    <t>5.    GRADBENA IN OBRTNIŠKA DELA</t>
  </si>
  <si>
    <t>6.    OPREMA CEST</t>
  </si>
  <si>
    <t>7.    TUJE STORITVE</t>
  </si>
  <si>
    <t>22 % DDV</t>
  </si>
  <si>
    <t>ocena
m1</t>
  </si>
  <si>
    <t xml:space="preserve">Odlaganje odpadne zmesi zemljine in kamnine, vključno s plačilom komunalne takse
</t>
  </si>
  <si>
    <t>Objekt :</t>
  </si>
  <si>
    <t>Del objekta :</t>
  </si>
  <si>
    <t>Številka načrta :</t>
  </si>
  <si>
    <t>IZRAČUN KOLIČIN</t>
  </si>
  <si>
    <t>52 801</t>
  </si>
  <si>
    <t>52 802</t>
  </si>
  <si>
    <t>VNOS KOLIČIN</t>
  </si>
  <si>
    <t>CENE</t>
  </si>
  <si>
    <t xml:space="preserve">Doplačilo za zatravitev s semenom
</t>
  </si>
  <si>
    <t xml:space="preserve">Prevoz materiala na razdaljo nad 20 do 25 km
</t>
  </si>
  <si>
    <r>
      <t xml:space="preserve">Projektantski nadzor
</t>
    </r>
    <r>
      <rPr>
        <sz val="5"/>
        <color theme="1"/>
        <rFont val="Arial Narrow"/>
        <family val="2"/>
        <charset val="238"/>
      </rPr>
      <t xml:space="preserve"> </t>
    </r>
  </si>
  <si>
    <t xml:space="preserve">Geotehnični nadzor
</t>
  </si>
  <si>
    <t xml:space="preserve">Zaščita oz. prestavitev vodovoda (izkop voda, prestavitev, zaščitna cev, zasip) po navodilih upravljalca
</t>
  </si>
  <si>
    <t>KOMENTAR</t>
  </si>
  <si>
    <t>VNOS KOLIČINO</t>
  </si>
  <si>
    <t>izračun za odvoze</t>
  </si>
  <si>
    <t>zemljina</t>
  </si>
  <si>
    <t>kamnina</t>
  </si>
  <si>
    <t>beton</t>
  </si>
  <si>
    <t xml:space="preserve">Odstranitev panja s premerom 31 do 50 cm z odvozom na deponijo na razdaljo nad 1000 m
</t>
  </si>
  <si>
    <t xml:space="preserve">Začasno črpanje vode pri napredovanju izkopa navzdol v vseh kategorijah, s črpalko kapacitete 10 do 15 l/s
</t>
  </si>
  <si>
    <t>11 644</t>
  </si>
  <si>
    <t>28 211</t>
  </si>
  <si>
    <t xml:space="preserve">Dobava in zabijanje vertikalnega opaža z razpiranjem po sistemu KRINGS. Pred zasipom se ga postopno odstrani in uporabi na drugem delu izkopa - faznost.
</t>
  </si>
  <si>
    <t>4.   KANALIZACIJSKA DELA</t>
  </si>
  <si>
    <t>SKUPAJ KANALIZACIJSKA DELA:</t>
  </si>
  <si>
    <t xml:space="preserve">Humuziranje brežine in zelenice brez valjanja, v debelini do 15 cm - strojno
</t>
  </si>
  <si>
    <t xml:space="preserve">Zakoličba obstoječih komunalnih vodov in oznaka križanj. Obračun po dejanskih stroških.
</t>
  </si>
  <si>
    <r>
      <t xml:space="preserve">Priprava gradbišča, odstranitev eventuelnih ovir in utrditev delovnega platoja. Po končanih delih se gradbišče pospravi in vzpostavi v prvotno stanje. 
</t>
    </r>
    <r>
      <rPr>
        <i/>
        <sz val="10"/>
        <color theme="1"/>
        <rFont val="Arial Narrow"/>
        <family val="2"/>
        <charset val="238"/>
      </rPr>
      <t xml:space="preserve">*v postavki je upoštevana tudi priprava gradbišča in vzpostavitev v prvotno stanje.
</t>
    </r>
  </si>
  <si>
    <t xml:space="preserve">Posek in odstranitev drevesa z deblom premera 11 do 30 cm ter odstranitev vej
</t>
  </si>
  <si>
    <t xml:space="preserve">Odstranitev panja s premerom 11 do 30 cm z odvozom na deponijo na razdalijo nad 1000 m
</t>
  </si>
  <si>
    <r>
      <t xml:space="preserve">Površinski izkop plodne zemljine – 1. kategorije – strojno z nakladanjem
</t>
    </r>
    <r>
      <rPr>
        <i/>
        <sz val="10"/>
        <color theme="1"/>
        <rFont val="Arial Narrow"/>
        <family val="2"/>
        <charset val="238"/>
      </rPr>
      <t>*v debelini cca. 20cm</t>
    </r>
    <r>
      <rPr>
        <b/>
        <sz val="10"/>
        <color theme="1"/>
        <rFont val="Arial Narrow"/>
        <family val="2"/>
        <charset val="238"/>
      </rPr>
      <t xml:space="preserve">
</t>
    </r>
  </si>
  <si>
    <t xml:space="preserve">SKUPNI IZKOP </t>
  </si>
  <si>
    <t xml:space="preserve">Izdelava geodetskega posnetka in projektne dokumentacije  izvedenih gradbenih del
</t>
  </si>
  <si>
    <t>79 517</t>
  </si>
  <si>
    <r>
      <t>Izdelava projektne</t>
    </r>
    <r>
      <rPr>
        <i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 xml:space="preserve">dokumentacije za </t>
    </r>
    <r>
      <rPr>
        <i/>
        <sz val="10"/>
        <color theme="1"/>
        <rFont val="Arial Narrow"/>
        <family val="2"/>
        <charset val="238"/>
      </rPr>
      <t>vzdrževanje in obratovanje</t>
    </r>
  </si>
  <si>
    <t>8.    NEPREDVIDENA DELA 10%</t>
  </si>
  <si>
    <t>14 RJ</t>
  </si>
  <si>
    <t>Skupaj</t>
  </si>
  <si>
    <t>lovilec olj</t>
  </si>
  <si>
    <t>2447-25-1</t>
  </si>
  <si>
    <t>Gradnja pločnika Senožeti ob lokalni cesti LC 069051 in javni poti JP 569612</t>
  </si>
  <si>
    <t>Škatlast AB prepust in ureditev vodotoka</t>
  </si>
  <si>
    <t xml:space="preserve">Odstranitev grmovja in dreves z debli premera do 10 cm ter vej na redko porasli površini - strojno
</t>
  </si>
  <si>
    <t xml:space="preserve">Odstranitev vej predhodno posekanih dreves
</t>
  </si>
  <si>
    <r>
      <t xml:space="preserve">Dobava in vgraditev ograje za pešce (CVO) iz jeklenih cevnih profilov z vertikalnimi polnili, visoke do 120 cm, </t>
    </r>
    <r>
      <rPr>
        <i/>
        <sz val="10"/>
        <color theme="1"/>
        <rFont val="Arial Narrow"/>
        <family val="2"/>
        <charset val="238"/>
      </rPr>
      <t>vgradnja na betonski venec na novem prepustu, vključno z vsem montažnim materialom.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</si>
  <si>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Porušitev in odstranitev ojačenega cementnega betona
</t>
    </r>
    <r>
      <rPr>
        <i/>
        <sz val="10"/>
        <color theme="1"/>
        <rFont val="Arial Narrow"/>
        <family val="2"/>
        <charset val="238"/>
      </rPr>
      <t>(obstoječ AB prepust-ocena)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</si>
  <si>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Izkop vezljive zemljine/zrnate kamnine – 3. kategorije za temelje, kanalske rove, prepuste, jaške in drenaže, širine do 1,0 m in globine do 1,0 m – strojno, planiranje dna ročno
</t>
    </r>
    <r>
      <rPr>
        <i/>
        <sz val="10"/>
        <color theme="1"/>
        <rFont val="Arial Narrow"/>
        <family val="2"/>
        <charset val="238"/>
      </rPr>
      <t>(upoštevano 60% celotnega izkopa)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</si>
  <si>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Izkop vezljive zemljine/zrnate kamnine – 3. kategorije za temelje, kanalske rove, prepuste, jaške in drenaže, širine do 1,0 m in globine 1,1 do 2,0 m – strojno, planiranje dna ročno
</t>
    </r>
    <r>
      <rPr>
        <i/>
        <sz val="10"/>
        <color theme="1"/>
        <rFont val="Arial Narrow"/>
        <family val="2"/>
        <charset val="238"/>
      </rPr>
      <t xml:space="preserve">(upoštevano 35% celotnega izkopa)
</t>
    </r>
  </si>
  <si>
    <r>
      <t xml:space="preserve">Izkop vezljive zemljine/zrnate kamnine – 3. kategorije za temelje, kanalske rove, prepuste, jaške in drenaže, širine do 1,0 m in globine do 1,0 m – ročno, planiranje dna ročno
</t>
    </r>
    <r>
      <rPr>
        <i/>
        <sz val="10"/>
        <color theme="1"/>
        <rFont val="Arial Narrow"/>
        <family val="2"/>
        <charset val="238"/>
      </rPr>
      <t xml:space="preserve">(upoštevano 5% celotnega izkopa)
</t>
    </r>
  </si>
  <si>
    <r>
      <t xml:space="preserve">Dobava nasipa iz zrnate kamnine – 3. kategorije ter zasipavanje kanala skupaj z dobavo in dovozom materiala in utrjevanjem z vibracijskim nabijačem v slojih po 20 cm do 95% trdnosti po standardnem Proktorjevem postopku
</t>
    </r>
    <r>
      <rPr>
        <i/>
        <sz val="10"/>
        <color theme="1"/>
        <rFont val="Arial Narrow"/>
        <family val="2"/>
        <charset val="238"/>
      </rPr>
      <t>*zasutje za/pred zidom, v območju prepusta ipd.</t>
    </r>
    <r>
      <rPr>
        <sz val="10"/>
        <color theme="1"/>
        <rFont val="Arial Narrow"/>
        <family val="2"/>
        <charset val="238"/>
      </rPr>
      <t xml:space="preserve">
</t>
    </r>
  </si>
  <si>
    <t>4.    ODVODNJAVANJE</t>
  </si>
  <si>
    <r>
      <t xml:space="preserve">Izdelava okvirnega ploščatega prepusta iz ojačenega cementnega betona s svetllim prerezom nad temelji 4,1 do 8 m2
*škatlast prepust iz predfabriciranih AB elementov svetlega prereza 300/150 cm </t>
    </r>
    <r>
      <rPr>
        <i/>
        <sz val="10"/>
        <color theme="1"/>
        <rFont val="Arial Narrow"/>
        <family val="2"/>
        <charset val="238"/>
      </rPr>
      <t xml:space="preserve">(kot npr.: GeoBeton tip INDIA dim. 300/150/170cm, 7 elementov)
</t>
    </r>
  </si>
  <si>
    <r>
      <t xml:space="preserve">Zaščita brežine s kamnito zložbo, izvedeno v suho
</t>
    </r>
    <r>
      <rPr>
        <i/>
        <sz val="10"/>
        <color theme="1"/>
        <rFont val="Arial Narrow"/>
        <family val="2"/>
        <charset val="238"/>
      </rPr>
      <t>(zaščita brežine in dna vodotoka v okolici vtoka in iztoka prepusta s kamnom v pustem betonu, dimenzija kamnov do 60cm)</t>
    </r>
  </si>
  <si>
    <r>
      <t xml:space="preserve">Izdelava posteljice v debelini plasti do 50 cm iz zrnate kamnine – 3. kategorije
</t>
    </r>
    <r>
      <rPr>
        <i/>
        <sz val="10"/>
        <color theme="1"/>
        <rFont val="Arial Narrow"/>
        <family val="2"/>
        <charset val="238"/>
      </rPr>
      <t>(zamenjava materiala in utrditev pod prepustom v debelini cca. 30cm)</t>
    </r>
    <r>
      <rPr>
        <sz val="10"/>
        <color theme="1"/>
        <rFont val="Arial Narrow"/>
        <family val="2"/>
        <charset val="238"/>
      </rPr>
      <t xml:space="preserve">
</t>
    </r>
  </si>
  <si>
    <t xml:space="preserve">Odlaganje odpadnega cementnega betona na komunalno deponijo vključno s plačilom komunalne takse 
</t>
  </si>
  <si>
    <r>
      <t xml:space="preserve">Dobava in vgraditev armaturne mreže Q503
</t>
    </r>
    <r>
      <rPr>
        <i/>
        <sz val="10"/>
        <color theme="1"/>
        <rFont val="Arial Narrow"/>
        <family val="2"/>
        <charset val="238"/>
      </rPr>
      <t>(betonska nosilna plošča čez prepustom)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</si>
  <si>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vgraditev cementnega betona C30/37 v prerez od 0,16 do 0,30 m3/m2-m1
- dodatki: XC4, XD2, XF1, PV-II, Dmax=16
</t>
    </r>
    <r>
      <rPr>
        <i/>
        <sz val="10"/>
        <color theme="1"/>
        <rFont val="Arial Narrow"/>
        <family val="2"/>
        <charset val="238"/>
      </rPr>
      <t>(AB plošča nad prepustom)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</si>
  <si>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Dobava in postavitev </t>
    </r>
    <r>
      <rPr>
        <i/>
        <sz val="10"/>
        <color theme="1"/>
        <rFont val="Arial Narrow"/>
        <family val="2"/>
        <charset val="238"/>
      </rPr>
      <t>rebrastih žic</t>
    </r>
    <r>
      <rPr>
        <sz val="10"/>
        <color theme="1"/>
        <rFont val="Arial Narrow"/>
        <family val="2"/>
        <charset val="238"/>
      </rPr>
      <t xml:space="preserve"> iz visokovrednega naravno trdega jekla </t>
    </r>
    <r>
      <rPr>
        <i/>
        <sz val="10"/>
        <color theme="1"/>
        <rFont val="Arial Narrow"/>
        <family val="2"/>
        <charset val="238"/>
      </rPr>
      <t>B St 500 S</t>
    </r>
    <r>
      <rPr>
        <sz val="10"/>
        <color theme="1"/>
        <rFont val="Arial Narrow"/>
        <family val="2"/>
        <charset val="238"/>
      </rPr>
      <t xml:space="preserve"> s premerom </t>
    </r>
    <r>
      <rPr>
        <i/>
        <sz val="10"/>
        <color theme="1"/>
        <rFont val="Arial Narrow"/>
        <family val="2"/>
        <charset val="238"/>
      </rPr>
      <t>do 12 mm</t>
    </r>
    <r>
      <rPr>
        <sz val="10"/>
        <color theme="1"/>
        <rFont val="Arial Narrow"/>
        <family val="2"/>
        <charset val="238"/>
      </rPr>
      <t>, za enostavno ojačitev (</t>
    </r>
    <r>
      <rPr>
        <i/>
        <sz val="10"/>
        <color theme="1"/>
        <rFont val="Arial Narrow"/>
        <family val="2"/>
        <charset val="238"/>
      </rPr>
      <t>podporni zid</t>
    </r>
    <r>
      <rPr>
        <sz val="10"/>
        <color theme="1"/>
        <rFont val="Arial Narrow"/>
        <family val="2"/>
        <charset val="238"/>
      </rPr>
      <t xml:space="preserve">)
</t>
    </r>
  </si>
  <si>
    <r>
      <t xml:space="preserve">Dobava in vgraditev armaturne mreže Q785
</t>
    </r>
    <r>
      <rPr>
        <i/>
        <sz val="10"/>
        <color theme="1"/>
        <rFont val="Arial Narrow"/>
        <family val="2"/>
        <charset val="238"/>
      </rPr>
      <t>(podporni zidec)</t>
    </r>
    <r>
      <rPr>
        <sz val="10"/>
        <color theme="1"/>
        <rFont val="Arial Narrow"/>
        <family val="2"/>
        <charset val="238"/>
      </rPr>
      <t xml:space="preserve">
</t>
    </r>
  </si>
  <si>
    <t>51 874</t>
  </si>
  <si>
    <t xml:space="preserve">Dobava in montaža trikotnih letev dim. 3x3 cm na robovih krone zidu za končni izgled zidu. Vključno z odstranitvijo in odvozom letev po končani gradnji.
</t>
  </si>
  <si>
    <r>
      <t xml:space="preserve">Dobava in postavitev rebrastih žic iz visokovrednega naravno trdega jekla B St 500 S s premerom </t>
    </r>
    <r>
      <rPr>
        <i/>
        <sz val="10"/>
        <color theme="1"/>
        <rFont val="Arial Narrow"/>
        <family val="2"/>
        <charset val="238"/>
      </rPr>
      <t>nad 12 mm</t>
    </r>
    <r>
      <rPr>
        <sz val="10"/>
        <color theme="1"/>
        <rFont val="Arial Narrow"/>
        <family val="2"/>
        <charset val="238"/>
      </rPr>
      <t xml:space="preserve">, za enostavno ojačitev </t>
    </r>
    <r>
      <rPr>
        <i/>
        <sz val="10"/>
        <color theme="1"/>
        <rFont val="Arial Narrow"/>
        <family val="2"/>
        <charset val="238"/>
      </rPr>
      <t>(podporni zid)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</si>
  <si>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podprtega opaža za ravne temelje in nosilno ploščo
</t>
    </r>
    <r>
      <rPr>
        <i/>
        <sz val="10"/>
        <color theme="1"/>
        <rFont val="Arial Narrow"/>
        <family val="2"/>
        <charset val="238"/>
      </rPr>
      <t>(AB plošča nad prepustom in podporni zidec)</t>
    </r>
    <r>
      <rPr>
        <sz val="10"/>
        <color theme="1"/>
        <rFont val="Arial Narrow"/>
        <family val="2"/>
        <charset val="238"/>
      </rPr>
      <t xml:space="preserve">
</t>
    </r>
  </si>
  <si>
    <r>
      <t xml:space="preserve">Izdelava dvostranskega vezanega opaža za raven zid, visok do 2 m
</t>
    </r>
    <r>
      <rPr>
        <i/>
        <sz val="10"/>
        <color theme="1"/>
        <rFont val="Arial Narrow"/>
        <family val="2"/>
        <charset val="238"/>
      </rPr>
      <t xml:space="preserve">(podporni zidec)
</t>
    </r>
  </si>
  <si>
    <r>
      <t xml:space="preserve">Dobava in vgraditev cementnega betona C30/37 v prerez nad 0,50 m3/m2-m1
-dodatki: XC4, XD1, XF3, PV-II, Dmax=32
</t>
    </r>
    <r>
      <rPr>
        <i/>
        <sz val="10"/>
        <color theme="1"/>
        <rFont val="Arial Narrow"/>
        <family val="2"/>
        <charset val="238"/>
      </rPr>
      <t xml:space="preserve">(temelj in stena podpornega zidca)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</si>
</sst>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color rgb="FFFF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rgb="FF3F3F3F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sz val="8"/>
      <color rgb="FFFF0000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8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b/>
      <sz val="10"/>
      <name val="Arial Narrow"/>
      <family val="2"/>
      <charset val="238"/>
    </font>
    <font>
      <b/>
      <i/>
      <sz val="8"/>
      <name val="Arial Narrow"/>
      <family val="2"/>
      <charset val="238"/>
    </font>
    <font>
      <b/>
      <i/>
      <sz val="11"/>
      <name val="Arial Narrow"/>
      <family val="2"/>
      <charset val="238"/>
    </font>
    <font>
      <sz val="5"/>
      <color theme="1"/>
      <name val="Arial Narrow"/>
      <family val="2"/>
      <charset val="238"/>
    </font>
    <font>
      <b/>
      <sz val="10"/>
      <color theme="4" tint="-0.249977111117893"/>
      <name val="Arial Narrow"/>
      <family val="2"/>
      <charset val="238"/>
    </font>
    <font>
      <b/>
      <i/>
      <sz val="10"/>
      <color rgb="FF00B05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2" fontId="2" fillId="0" borderId="0" xfId="0" applyNumberFormat="1" applyFont="1" applyAlignment="1">
      <alignment vertical="top"/>
    </xf>
    <xf numFmtId="2" fontId="2" fillId="3" borderId="0" xfId="0" applyNumberFormat="1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wrapText="1"/>
    </xf>
    <xf numFmtId="0" fontId="12" fillId="3" borderId="1" xfId="1" applyFont="1" applyFill="1" applyAlignment="1" applyProtection="1">
      <alignment horizontal="center" vertical="center" wrapText="1"/>
    </xf>
    <xf numFmtId="4" fontId="12" fillId="3" borderId="1" xfId="1" applyNumberFormat="1" applyFont="1" applyFill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2" xfId="1" applyFont="1" applyFill="1" applyBorder="1" applyAlignment="1" applyProtection="1">
      <alignment horizontal="left" wrapText="1"/>
    </xf>
    <xf numFmtId="4" fontId="12" fillId="0" borderId="2" xfId="1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vertical="top"/>
    </xf>
    <xf numFmtId="0" fontId="13" fillId="4" borderId="8" xfId="0" applyFont="1" applyFill="1" applyBorder="1" applyAlignment="1">
      <alignment horizontal="left" vertical="top" wrapText="1"/>
    </xf>
    <xf numFmtId="0" fontId="12" fillId="3" borderId="1" xfId="1" applyFont="1" applyFill="1" applyAlignment="1">
      <alignment horizontal="center" vertical="center" wrapText="1"/>
    </xf>
    <xf numFmtId="4" fontId="12" fillId="3" borderId="1" xfId="1" applyNumberFormat="1" applyFont="1" applyFill="1" applyAlignment="1">
      <alignment horizontal="center" vertical="center" wrapText="1"/>
    </xf>
    <xf numFmtId="0" fontId="12" fillId="0" borderId="2" xfId="1" applyFont="1" applyFill="1" applyBorder="1" applyAlignment="1">
      <alignment horizontal="center" wrapText="1"/>
    </xf>
    <xf numFmtId="0" fontId="12" fillId="0" borderId="2" xfId="1" applyFont="1" applyFill="1" applyBorder="1" applyAlignment="1">
      <alignment horizontal="left" wrapText="1"/>
    </xf>
    <xf numFmtId="4" fontId="12" fillId="0" borderId="2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right" vertical="top"/>
    </xf>
    <xf numFmtId="2" fontId="2" fillId="3" borderId="0" xfId="0" applyNumberFormat="1" applyFont="1" applyFill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2" fontId="2" fillId="0" borderId="0" xfId="0" applyNumberFormat="1" applyFont="1" applyAlignment="1">
      <alignment horizontal="center" vertical="top"/>
    </xf>
    <xf numFmtId="4" fontId="18" fillId="0" borderId="0" xfId="0" applyNumberFormat="1" applyFont="1" applyAlignment="1">
      <alignment horizontal="center" vertical="top" wrapText="1"/>
    </xf>
    <xf numFmtId="4" fontId="23" fillId="3" borderId="1" xfId="1" applyNumberFormat="1" applyFont="1" applyFill="1" applyAlignment="1">
      <alignment horizontal="center" vertical="center" wrapText="1"/>
    </xf>
    <xf numFmtId="4" fontId="23" fillId="0" borderId="2" xfId="1" applyNumberFormat="1" applyFont="1" applyFill="1" applyBorder="1" applyAlignment="1">
      <alignment horizontal="center" vertical="top" wrapText="1"/>
    </xf>
    <xf numFmtId="4" fontId="18" fillId="4" borderId="9" xfId="0" applyNumberFormat="1" applyFont="1" applyFill="1" applyBorder="1" applyAlignment="1">
      <alignment horizontal="center" vertical="top" wrapText="1"/>
    </xf>
    <xf numFmtId="4" fontId="23" fillId="0" borderId="2" xfId="1" applyNumberFormat="1" applyFont="1" applyFill="1" applyBorder="1" applyAlignment="1" applyProtection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3" xfId="0" applyNumberFormat="1" applyFont="1" applyBorder="1" applyAlignment="1" applyProtection="1">
      <alignment horizontal="center" vertical="top" wrapText="1"/>
      <protection locked="0"/>
    </xf>
    <xf numFmtId="4" fontId="18" fillId="0" borderId="3" xfId="0" applyNumberFormat="1" applyFont="1" applyBorder="1" applyAlignment="1" applyProtection="1">
      <alignment horizontal="center" vertical="top" wrapText="1"/>
      <protection locked="0"/>
    </xf>
    <xf numFmtId="4" fontId="13" fillId="4" borderId="10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13" fillId="4" borderId="9" xfId="0" applyNumberFormat="1" applyFont="1" applyFill="1" applyBorder="1" applyAlignment="1">
      <alignment horizontal="right" vertical="top" wrapText="1"/>
    </xf>
    <xf numFmtId="49" fontId="13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0" fontId="7" fillId="0" borderId="0" xfId="0" applyFont="1" applyProtection="1"/>
    <xf numFmtId="0" fontId="8" fillId="0" borderId="0" xfId="0" applyFont="1" applyProtection="1"/>
    <xf numFmtId="0" fontId="13" fillId="0" borderId="0" xfId="0" applyFont="1" applyAlignment="1" applyProtection="1">
      <alignment horizontal="left"/>
    </xf>
    <xf numFmtId="0" fontId="7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wrapText="1"/>
    </xf>
    <xf numFmtId="0" fontId="29" fillId="0" borderId="0" xfId="0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  <xf numFmtId="0" fontId="9" fillId="0" borderId="0" xfId="0" applyFont="1" applyProtection="1"/>
    <xf numFmtId="0" fontId="8" fillId="0" borderId="4" xfId="0" applyFont="1" applyBorder="1" applyProtection="1"/>
    <xf numFmtId="0" fontId="8" fillId="0" borderId="5" xfId="0" applyFont="1" applyBorder="1" applyProtection="1"/>
    <xf numFmtId="164" fontId="8" fillId="0" borderId="6" xfId="0" applyNumberFormat="1" applyFont="1" applyBorder="1" applyProtection="1"/>
    <xf numFmtId="164" fontId="8" fillId="0" borderId="0" xfId="0" applyNumberFormat="1" applyFont="1" applyProtection="1"/>
    <xf numFmtId="0" fontId="8" fillId="0" borderId="0" xfId="0" applyFont="1" applyAlignment="1" applyProtection="1">
      <alignment horizontal="right"/>
    </xf>
    <xf numFmtId="2" fontId="8" fillId="0" borderId="0" xfId="0" applyNumberFormat="1" applyFont="1" applyProtection="1"/>
    <xf numFmtId="0" fontId="9" fillId="0" borderId="4" xfId="0" applyFont="1" applyBorder="1" applyProtection="1"/>
    <xf numFmtId="164" fontId="9" fillId="0" borderId="6" xfId="0" applyNumberFormat="1" applyFont="1" applyBorder="1" applyProtection="1"/>
    <xf numFmtId="0" fontId="10" fillId="0" borderId="0" xfId="0" applyFont="1" applyAlignment="1" applyProtection="1">
      <alignment horizontal="left"/>
    </xf>
    <xf numFmtId="2" fontId="11" fillId="0" borderId="7" xfId="0" applyNumberFormat="1" applyFont="1" applyBorder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horizontal="center" vertical="top" wrapText="1"/>
    </xf>
    <xf numFmtId="0" fontId="6" fillId="0" borderId="0" xfId="0" applyFont="1" applyAlignment="1" applyProtection="1">
      <alignment horizontal="left" vertical="top" wrapText="1"/>
    </xf>
    <xf numFmtId="4" fontId="18" fillId="0" borderId="0" xfId="0" applyNumberFormat="1" applyFont="1" applyAlignment="1" applyProtection="1">
      <alignment horizontal="center" vertical="top" wrapText="1"/>
    </xf>
    <xf numFmtId="4" fontId="6" fillId="0" borderId="0" xfId="0" applyNumberFormat="1" applyFont="1" applyAlignment="1" applyProtection="1">
      <alignment horizontal="center" vertical="top" wrapText="1"/>
    </xf>
    <xf numFmtId="0" fontId="6" fillId="0" borderId="0" xfId="0" applyFont="1" applyProtection="1"/>
    <xf numFmtId="0" fontId="2" fillId="11" borderId="0" xfId="0" applyFont="1" applyFill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wrapText="1"/>
    </xf>
    <xf numFmtId="2" fontId="2" fillId="11" borderId="0" xfId="0" applyNumberFormat="1" applyFont="1" applyFill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4" fontId="6" fillId="0" borderId="0" xfId="0" applyNumberFormat="1" applyFont="1" applyAlignment="1" applyProtection="1">
      <alignment vertical="top"/>
    </xf>
    <xf numFmtId="49" fontId="13" fillId="0" borderId="0" xfId="0" applyNumberFormat="1" applyFont="1" applyAlignment="1" applyProtection="1">
      <alignment horizontal="left" vertical="top" wrapText="1"/>
    </xf>
    <xf numFmtId="49" fontId="9" fillId="0" borderId="0" xfId="0" applyNumberFormat="1" applyFont="1" applyAlignment="1" applyProtection="1">
      <alignment horizontal="left" vertical="top" wrapText="1"/>
    </xf>
    <xf numFmtId="49" fontId="13" fillId="0" borderId="0" xfId="0" applyNumberFormat="1" applyFont="1" applyAlignment="1" applyProtection="1">
      <alignment horizontal="left" vertical="top" wrapText="1"/>
    </xf>
    <xf numFmtId="4" fontId="19" fillId="0" borderId="0" xfId="0" applyNumberFormat="1" applyFont="1" applyAlignment="1" applyProtection="1">
      <alignment horizontal="center" vertical="top" wrapText="1"/>
    </xf>
    <xf numFmtId="4" fontId="14" fillId="0" borderId="0" xfId="0" applyNumberFormat="1" applyFont="1" applyAlignment="1" applyProtection="1">
      <alignment horizontal="center" vertical="top" wrapText="1"/>
    </xf>
    <xf numFmtId="49" fontId="15" fillId="4" borderId="4" xfId="0" applyNumberFormat="1" applyFont="1" applyFill="1" applyBorder="1" applyAlignment="1" applyProtection="1">
      <alignment horizontal="left" wrapText="1"/>
    </xf>
    <xf numFmtId="49" fontId="15" fillId="4" borderId="5" xfId="0" applyNumberFormat="1" applyFont="1" applyFill="1" applyBorder="1" applyAlignment="1" applyProtection="1">
      <alignment horizontal="left" wrapText="1"/>
    </xf>
    <xf numFmtId="2" fontId="24" fillId="4" borderId="5" xfId="0" applyNumberFormat="1" applyFont="1" applyFill="1" applyBorder="1" applyAlignment="1" applyProtection="1">
      <alignment horizontal="center" wrapText="1"/>
    </xf>
    <xf numFmtId="2" fontId="16" fillId="4" borderId="6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Border="1" applyAlignment="1" applyProtection="1">
      <alignment vertical="top" wrapText="1"/>
    </xf>
    <xf numFmtId="0" fontId="6" fillId="0" borderId="3" xfId="0" applyFont="1" applyBorder="1" applyAlignment="1" applyProtection="1">
      <alignment horizontal="center" vertical="top" wrapText="1"/>
    </xf>
    <xf numFmtId="0" fontId="6" fillId="0" borderId="3" xfId="0" applyFont="1" applyBorder="1" applyAlignment="1" applyProtection="1">
      <alignment horizontal="left" vertical="top" wrapText="1"/>
    </xf>
    <xf numFmtId="4" fontId="6" fillId="0" borderId="3" xfId="0" applyNumberFormat="1" applyFont="1" applyBorder="1" applyAlignment="1" applyProtection="1">
      <alignment horizontal="center" vertical="top" wrapText="1"/>
    </xf>
    <xf numFmtId="2" fontId="2" fillId="5" borderId="0" xfId="0" applyNumberFormat="1" applyFont="1" applyFill="1" applyAlignment="1" applyProtection="1">
      <alignment vertical="top"/>
    </xf>
    <xf numFmtId="2" fontId="2" fillId="7" borderId="0" xfId="0" applyNumberFormat="1" applyFont="1" applyFill="1" applyAlignment="1" applyProtection="1">
      <alignment vertical="top"/>
    </xf>
    <xf numFmtId="4" fontId="21" fillId="0" borderId="0" xfId="0" applyNumberFormat="1" applyFont="1" applyAlignment="1" applyProtection="1">
      <alignment horizontal="center" vertical="top" wrapText="1"/>
    </xf>
    <xf numFmtId="4" fontId="17" fillId="0" borderId="0" xfId="0" applyNumberFormat="1" applyFont="1" applyAlignment="1" applyProtection="1">
      <alignment horizontal="center" vertical="top" wrapText="1"/>
    </xf>
    <xf numFmtId="49" fontId="4" fillId="0" borderId="11" xfId="0" applyNumberFormat="1" applyFont="1" applyBorder="1" applyAlignment="1" applyProtection="1">
      <alignment horizontal="left" wrapText="1"/>
    </xf>
    <xf numFmtId="2" fontId="21" fillId="0" borderId="11" xfId="0" applyNumberFormat="1" applyFont="1" applyBorder="1" applyAlignment="1" applyProtection="1">
      <alignment horizontal="center" wrapText="1"/>
    </xf>
    <xf numFmtId="2" fontId="17" fillId="0" borderId="11" xfId="0" applyNumberFormat="1" applyFont="1" applyBorder="1" applyAlignment="1" applyProtection="1">
      <alignment horizontal="center" wrapText="1"/>
    </xf>
    <xf numFmtId="4" fontId="18" fillId="0" borderId="3" xfId="0" applyNumberFormat="1" applyFont="1" applyBorder="1" applyAlignment="1" applyProtection="1">
      <alignment horizontal="center" vertical="top" wrapText="1"/>
    </xf>
    <xf numFmtId="2" fontId="2" fillId="6" borderId="0" xfId="0" applyNumberFormat="1" applyFont="1" applyFill="1" applyAlignment="1" applyProtection="1">
      <alignment vertical="top"/>
    </xf>
    <xf numFmtId="2" fontId="2" fillId="6" borderId="0" xfId="0" applyNumberFormat="1" applyFont="1" applyFill="1" applyAlignment="1" applyProtection="1">
      <alignment horizontal="right" vertical="top"/>
    </xf>
    <xf numFmtId="2" fontId="2" fillId="9" borderId="0" xfId="0" applyNumberFormat="1" applyFont="1" applyFill="1" applyAlignment="1" applyProtection="1">
      <alignment vertical="top"/>
    </xf>
    <xf numFmtId="4" fontId="5" fillId="0" borderId="0" xfId="0" applyNumberFormat="1" applyFont="1" applyAlignment="1" applyProtection="1">
      <alignment horizontal="center" vertical="top" wrapText="1"/>
    </xf>
    <xf numFmtId="49" fontId="4" fillId="0" borderId="0" xfId="0" applyNumberFormat="1" applyFont="1" applyAlignment="1" applyProtection="1">
      <alignment horizontal="left" wrapText="1"/>
    </xf>
    <xf numFmtId="2" fontId="23" fillId="0" borderId="0" xfId="0" applyNumberFormat="1" applyFont="1" applyAlignment="1" applyProtection="1">
      <alignment horizontal="center" wrapText="1"/>
    </xf>
    <xf numFmtId="2" fontId="2" fillId="0" borderId="0" xfId="0" applyNumberFormat="1" applyFont="1" applyAlignment="1" applyProtection="1">
      <alignment horizontal="center" wrapText="1"/>
    </xf>
    <xf numFmtId="2" fontId="2" fillId="12" borderId="0" xfId="0" applyNumberFormat="1" applyFont="1" applyFill="1" applyAlignment="1" applyProtection="1">
      <alignment vertical="top"/>
    </xf>
    <xf numFmtId="2" fontId="21" fillId="0" borderId="0" xfId="0" applyNumberFormat="1" applyFont="1" applyAlignment="1" applyProtection="1">
      <alignment horizontal="center" wrapText="1"/>
    </xf>
    <xf numFmtId="2" fontId="17" fillId="0" borderId="0" xfId="0" applyNumberFormat="1" applyFont="1" applyAlignment="1" applyProtection="1">
      <alignment horizontal="center" wrapText="1"/>
    </xf>
    <xf numFmtId="2" fontId="2" fillId="0" borderId="0" xfId="0" applyNumberFormat="1" applyFont="1" applyAlignment="1" applyProtection="1">
      <alignment vertical="top"/>
    </xf>
    <xf numFmtId="2" fontId="2" fillId="10" borderId="0" xfId="0" applyNumberFormat="1" applyFont="1" applyFill="1" applyAlignment="1" applyProtection="1">
      <alignment vertical="top"/>
    </xf>
    <xf numFmtId="0" fontId="13" fillId="4" borderId="8" xfId="0" applyFont="1" applyFill="1" applyBorder="1" applyAlignment="1" applyProtection="1">
      <alignment horizontal="left" vertical="top" wrapText="1"/>
    </xf>
    <xf numFmtId="4" fontId="18" fillId="4" borderId="9" xfId="0" applyNumberFormat="1" applyFont="1" applyFill="1" applyBorder="1" applyAlignment="1" applyProtection="1">
      <alignment horizontal="center" vertical="top" wrapText="1"/>
    </xf>
    <xf numFmtId="4" fontId="9" fillId="4" borderId="9" xfId="0" applyNumberFormat="1" applyFont="1" applyFill="1" applyBorder="1" applyAlignment="1" applyProtection="1">
      <alignment horizontal="right" vertical="top" wrapText="1"/>
    </xf>
    <xf numFmtId="4" fontId="13" fillId="4" borderId="10" xfId="0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 applyProtection="1">
      <alignment horizontal="left" vertical="top" wrapText="1"/>
    </xf>
    <xf numFmtId="2" fontId="2" fillId="11" borderId="0" xfId="0" applyNumberFormat="1" applyFont="1" applyFill="1" applyAlignment="1" applyProtection="1">
      <alignment vertical="top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2" fontId="2" fillId="11" borderId="0" xfId="0" applyNumberFormat="1" applyFont="1" applyFill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4" fontId="6" fillId="0" borderId="0" xfId="0" applyNumberFormat="1" applyFont="1" applyProtection="1"/>
    <xf numFmtId="0" fontId="18" fillId="0" borderId="3" xfId="0" applyFont="1" applyBorder="1" applyAlignment="1" applyProtection="1">
      <alignment horizontal="left" vertical="top" wrapText="1"/>
    </xf>
    <xf numFmtId="2" fontId="2" fillId="8" borderId="0" xfId="0" applyNumberFormat="1" applyFont="1" applyFill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49" fontId="18" fillId="0" borderId="3" xfId="0" applyNumberFormat="1" applyFont="1" applyBorder="1" applyAlignment="1" applyProtection="1">
      <alignment vertical="top" wrapText="1"/>
    </xf>
    <xf numFmtId="0" fontId="18" fillId="0" borderId="3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18" fillId="0" borderId="0" xfId="0" applyFont="1" applyAlignment="1" applyProtection="1">
      <alignment vertical="top" wrapText="1"/>
    </xf>
    <xf numFmtId="0" fontId="6" fillId="0" borderId="12" xfId="0" applyFont="1" applyBorder="1" applyProtection="1"/>
    <xf numFmtId="4" fontId="6" fillId="0" borderId="12" xfId="0" applyNumberFormat="1" applyFont="1" applyBorder="1" applyProtection="1"/>
    <xf numFmtId="0" fontId="6" fillId="0" borderId="0" xfId="0" applyFont="1" applyAlignment="1" applyProtection="1">
      <alignment horizontal="right" vertical="top"/>
    </xf>
    <xf numFmtId="0" fontId="6" fillId="0" borderId="13" xfId="0" applyFont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18" fillId="0" borderId="0" xfId="0" applyFont="1" applyProtection="1"/>
    <xf numFmtId="2" fontId="16" fillId="4" borderId="5" xfId="0" applyNumberFormat="1" applyFont="1" applyFill="1" applyBorder="1" applyAlignment="1" applyProtection="1">
      <alignment horizontal="center" wrapText="1"/>
    </xf>
    <xf numFmtId="0" fontId="5" fillId="0" borderId="0" xfId="0" applyFont="1" applyProtection="1"/>
    <xf numFmtId="0" fontId="4" fillId="0" borderId="0" xfId="0" applyFont="1" applyProtection="1"/>
    <xf numFmtId="0" fontId="28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wrapText="1"/>
    </xf>
    <xf numFmtId="49" fontId="25" fillId="4" borderId="4" xfId="0" applyNumberFormat="1" applyFont="1" applyFill="1" applyBorder="1" applyAlignment="1" applyProtection="1">
      <alignment horizontal="left" wrapText="1"/>
    </xf>
    <xf numFmtId="49" fontId="25" fillId="4" borderId="5" xfId="0" applyNumberFormat="1" applyFont="1" applyFill="1" applyBorder="1" applyAlignment="1" applyProtection="1">
      <alignment horizontal="left" wrapText="1"/>
    </xf>
    <xf numFmtId="2" fontId="24" fillId="4" borderId="6" xfId="0" applyNumberFormat="1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top"/>
    </xf>
    <xf numFmtId="0" fontId="18" fillId="0" borderId="0" xfId="0" applyFont="1" applyAlignment="1" applyProtection="1">
      <alignment horizontal="center" vertical="top" wrapText="1"/>
    </xf>
    <xf numFmtId="4" fontId="23" fillId="0" borderId="0" xfId="0" applyNumberFormat="1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2" fontId="23" fillId="0" borderId="0" xfId="0" applyNumberFormat="1" applyFont="1" applyAlignment="1" applyProtection="1">
      <alignment horizontal="right" vertical="center"/>
    </xf>
    <xf numFmtId="0" fontId="23" fillId="0" borderId="0" xfId="0" applyFont="1" applyAlignment="1" applyProtection="1">
      <alignment horizontal="right" vertical="center"/>
    </xf>
    <xf numFmtId="49" fontId="5" fillId="0" borderId="0" xfId="0" applyNumberFormat="1" applyFont="1" applyAlignment="1" applyProtection="1">
      <alignment vertical="top" wrapText="1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left" vertical="top" wrapText="1"/>
    </xf>
    <xf numFmtId="0" fontId="5" fillId="11" borderId="0" xfId="0" applyFont="1" applyFill="1" applyProtection="1"/>
    <xf numFmtId="0" fontId="18" fillId="0" borderId="0" xfId="0" applyFont="1" applyAlignment="1" applyProtection="1">
      <alignment horizontal="left" wrapText="1"/>
    </xf>
    <xf numFmtId="2" fontId="2" fillId="0" borderId="0" xfId="0" applyNumberFormat="1" applyFont="1" applyAlignment="1" applyProtection="1">
      <alignment horizontal="center" vertical="top"/>
    </xf>
    <xf numFmtId="0" fontId="27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left" vertical="top"/>
    </xf>
    <xf numFmtId="0" fontId="18" fillId="0" borderId="0" xfId="0" applyFont="1" applyAlignment="1" applyProtection="1">
      <alignment horizontal="right" vertical="top"/>
    </xf>
    <xf numFmtId="0" fontId="18" fillId="0" borderId="0" xfId="0" applyFont="1" applyAlignment="1" applyProtection="1">
      <alignment wrapText="1"/>
    </xf>
    <xf numFmtId="0" fontId="23" fillId="3" borderId="1" xfId="1" applyFont="1" applyFill="1" applyAlignment="1" applyProtection="1">
      <alignment horizontal="center" vertical="center" wrapText="1"/>
    </xf>
    <xf numFmtId="4" fontId="23" fillId="3" borderId="1" xfId="1" applyNumberFormat="1" applyFont="1" applyFill="1" applyAlignment="1" applyProtection="1">
      <alignment horizontal="center" vertical="center" wrapText="1"/>
    </xf>
    <xf numFmtId="2" fontId="2" fillId="3" borderId="0" xfId="0" applyNumberFormat="1" applyFont="1" applyFill="1" applyAlignment="1" applyProtection="1">
      <alignment horizontal="right" vertical="top"/>
    </xf>
    <xf numFmtId="0" fontId="27" fillId="0" borderId="0" xfId="0" applyFont="1" applyAlignment="1" applyProtection="1">
      <alignment horizontal="right" vertical="top"/>
    </xf>
    <xf numFmtId="0" fontId="23" fillId="0" borderId="2" xfId="1" applyFont="1" applyFill="1" applyBorder="1" applyAlignment="1" applyProtection="1">
      <alignment horizontal="center" wrapText="1"/>
    </xf>
    <xf numFmtId="0" fontId="23" fillId="0" borderId="2" xfId="1" applyFont="1" applyFill="1" applyBorder="1" applyAlignment="1" applyProtection="1">
      <alignment horizontal="left" wrapText="1"/>
    </xf>
    <xf numFmtId="2" fontId="2" fillId="0" borderId="0" xfId="0" applyNumberFormat="1" applyFont="1" applyAlignment="1" applyProtection="1">
      <alignment horizontal="right" vertical="top"/>
    </xf>
    <xf numFmtId="0" fontId="6" fillId="0" borderId="0" xfId="0" applyFont="1" applyAlignment="1" applyProtection="1">
      <alignment horizontal="left"/>
    </xf>
    <xf numFmtId="49" fontId="18" fillId="0" borderId="0" xfId="0" applyNumberFormat="1" applyFont="1" applyAlignment="1" applyProtection="1">
      <alignment vertical="top" wrapText="1"/>
    </xf>
    <xf numFmtId="0" fontId="5" fillId="0" borderId="0" xfId="0" applyFont="1" applyAlignment="1" applyProtection="1">
      <alignment horizontal="right" vertical="top"/>
    </xf>
    <xf numFmtId="0" fontId="9" fillId="4" borderId="8" xfId="0" applyFont="1" applyFill="1" applyBorder="1" applyAlignment="1" applyProtection="1">
      <alignment horizontal="left" vertical="top" wrapText="1"/>
    </xf>
    <xf numFmtId="4" fontId="9" fillId="4" borderId="10" xfId="0" applyNumberFormat="1" applyFont="1" applyFill="1" applyBorder="1" applyAlignment="1" applyProtection="1">
      <alignment horizontal="right" vertical="top" wrapText="1"/>
    </xf>
    <xf numFmtId="2" fontId="2" fillId="3" borderId="0" xfId="0" applyNumberFormat="1" applyFont="1" applyFill="1" applyAlignment="1" applyProtection="1">
      <alignment horizontal="center"/>
    </xf>
    <xf numFmtId="2" fontId="2" fillId="3" borderId="0" xfId="0" applyNumberFormat="1" applyFont="1" applyFill="1" applyAlignment="1" applyProtection="1">
      <alignment horizontal="right"/>
    </xf>
    <xf numFmtId="0" fontId="3" fillId="0" borderId="0" xfId="0" applyFont="1" applyAlignment="1" applyProtection="1">
      <alignment horizontal="right"/>
    </xf>
    <xf numFmtId="2" fontId="2" fillId="0" borderId="0" xfId="0" applyNumberFormat="1" applyFont="1" applyAlignment="1" applyProtection="1">
      <alignment horizontal="right"/>
    </xf>
    <xf numFmtId="2" fontId="19" fillId="0" borderId="0" xfId="0" applyNumberFormat="1" applyFont="1" applyAlignment="1" applyProtection="1">
      <alignment horizontal="center" vertical="top" wrapText="1"/>
    </xf>
    <xf numFmtId="2" fontId="14" fillId="0" borderId="0" xfId="0" applyNumberFormat="1" applyFont="1" applyAlignment="1" applyProtection="1">
      <alignment horizontal="center" vertical="top" wrapText="1"/>
    </xf>
    <xf numFmtId="2" fontId="4" fillId="0" borderId="0" xfId="0" applyNumberFormat="1" applyFont="1" applyAlignment="1" applyProtection="1">
      <alignment vertical="top"/>
    </xf>
    <xf numFmtId="0" fontId="22" fillId="0" borderId="0" xfId="0" applyFont="1" applyProtection="1"/>
    <xf numFmtId="4" fontId="13" fillId="4" borderId="9" xfId="0" applyNumberFormat="1" applyFont="1" applyFill="1" applyBorder="1" applyAlignment="1" applyProtection="1">
      <alignment horizontal="right" vertical="top" wrapText="1"/>
    </xf>
    <xf numFmtId="2" fontId="5" fillId="3" borderId="0" xfId="0" applyNumberFormat="1" applyFont="1" applyFill="1" applyAlignment="1" applyProtection="1">
      <alignment vertical="center"/>
    </xf>
    <xf numFmtId="2" fontId="5" fillId="0" borderId="0" xfId="0" applyNumberFormat="1" applyFont="1" applyAlignment="1" applyProtection="1">
      <alignment vertical="top"/>
    </xf>
    <xf numFmtId="4" fontId="6" fillId="4" borderId="9" xfId="0" applyNumberFormat="1" applyFont="1" applyFill="1" applyBorder="1" applyAlignment="1" applyProtection="1">
      <alignment horizontal="center" vertical="top" wrapText="1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1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2" xr16:uid="{00000000-0016-0000-02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7" xr16:uid="{00000000-0016-0000-03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2" connectionId="4" xr16:uid="{00000000-0016-0000-0400-000004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3" xr16:uid="{00000000-0016-0000-0400-000003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8" xr16:uid="{00000000-0016-0000-0500-000005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5" xr16:uid="{00000000-0016-0000-0600-000006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_preddela_1" connectionId="6" xr16:uid="{00000000-0016-0000-0700-000007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C00000"/>
    <pageSetUpPr fitToPage="1"/>
  </sheetPr>
  <dimension ref="B6:I44"/>
  <sheetViews>
    <sheetView tabSelected="1" view="pageBreakPreview" zoomScaleNormal="85" zoomScaleSheetLayoutView="100" zoomScalePageLayoutView="120" workbookViewId="0">
      <selection activeCell="I9" sqref="I8:I9"/>
    </sheetView>
  </sheetViews>
  <sheetFormatPr defaultRowHeight="16.5" x14ac:dyDescent="0.3"/>
  <cols>
    <col min="1" max="1" width="2.85546875" style="43" customWidth="1"/>
    <col min="2" max="2" width="10.42578125" style="43" customWidth="1"/>
    <col min="3" max="4" width="9.140625" style="43"/>
    <col min="5" max="5" width="8.28515625" style="43" customWidth="1"/>
    <col min="6" max="6" width="9.5703125" style="43" customWidth="1"/>
    <col min="7" max="7" width="3.28515625" style="43" customWidth="1"/>
    <col min="8" max="8" width="19.85546875" style="43" customWidth="1"/>
    <col min="9" max="9" width="7.28515625" style="43" customWidth="1"/>
    <col min="10" max="10" width="12.7109375" style="43" customWidth="1"/>
    <col min="11" max="262" width="9.140625" style="43"/>
    <col min="263" max="263" width="7.42578125" style="43" customWidth="1"/>
    <col min="264" max="264" width="20.42578125" style="43" customWidth="1"/>
    <col min="265" max="265" width="17.140625" style="43" customWidth="1"/>
    <col min="266" max="266" width="12.7109375" style="43" customWidth="1"/>
    <col min="267" max="518" width="9.140625" style="43"/>
    <col min="519" max="519" width="7.42578125" style="43" customWidth="1"/>
    <col min="520" max="520" width="20.42578125" style="43" customWidth="1"/>
    <col min="521" max="521" width="17.140625" style="43" customWidth="1"/>
    <col min="522" max="522" width="12.7109375" style="43" customWidth="1"/>
    <col min="523" max="774" width="9.140625" style="43"/>
    <col min="775" max="775" width="7.42578125" style="43" customWidth="1"/>
    <col min="776" max="776" width="20.42578125" style="43" customWidth="1"/>
    <col min="777" max="777" width="17.140625" style="43" customWidth="1"/>
    <col min="778" max="778" width="12.7109375" style="43" customWidth="1"/>
    <col min="779" max="1030" width="9.140625" style="43"/>
    <col min="1031" max="1031" width="7.42578125" style="43" customWidth="1"/>
    <col min="1032" max="1032" width="20.42578125" style="43" customWidth="1"/>
    <col min="1033" max="1033" width="17.140625" style="43" customWidth="1"/>
    <col min="1034" max="1034" width="12.7109375" style="43" customWidth="1"/>
    <col min="1035" max="1286" width="9.140625" style="43"/>
    <col min="1287" max="1287" width="7.42578125" style="43" customWidth="1"/>
    <col min="1288" max="1288" width="20.42578125" style="43" customWidth="1"/>
    <col min="1289" max="1289" width="17.140625" style="43" customWidth="1"/>
    <col min="1290" max="1290" width="12.7109375" style="43" customWidth="1"/>
    <col min="1291" max="1542" width="9.140625" style="43"/>
    <col min="1543" max="1543" width="7.42578125" style="43" customWidth="1"/>
    <col min="1544" max="1544" width="20.42578125" style="43" customWidth="1"/>
    <col min="1545" max="1545" width="17.140625" style="43" customWidth="1"/>
    <col min="1546" max="1546" width="12.7109375" style="43" customWidth="1"/>
    <col min="1547" max="1798" width="9.140625" style="43"/>
    <col min="1799" max="1799" width="7.42578125" style="43" customWidth="1"/>
    <col min="1800" max="1800" width="20.42578125" style="43" customWidth="1"/>
    <col min="1801" max="1801" width="17.140625" style="43" customWidth="1"/>
    <col min="1802" max="1802" width="12.7109375" style="43" customWidth="1"/>
    <col min="1803" max="2054" width="9.140625" style="43"/>
    <col min="2055" max="2055" width="7.42578125" style="43" customWidth="1"/>
    <col min="2056" max="2056" width="20.42578125" style="43" customWidth="1"/>
    <col min="2057" max="2057" width="17.140625" style="43" customWidth="1"/>
    <col min="2058" max="2058" width="12.7109375" style="43" customWidth="1"/>
    <col min="2059" max="2310" width="9.140625" style="43"/>
    <col min="2311" max="2311" width="7.42578125" style="43" customWidth="1"/>
    <col min="2312" max="2312" width="20.42578125" style="43" customWidth="1"/>
    <col min="2313" max="2313" width="17.140625" style="43" customWidth="1"/>
    <col min="2314" max="2314" width="12.7109375" style="43" customWidth="1"/>
    <col min="2315" max="2566" width="9.140625" style="43"/>
    <col min="2567" max="2567" width="7.42578125" style="43" customWidth="1"/>
    <col min="2568" max="2568" width="20.42578125" style="43" customWidth="1"/>
    <col min="2569" max="2569" width="17.140625" style="43" customWidth="1"/>
    <col min="2570" max="2570" width="12.7109375" style="43" customWidth="1"/>
    <col min="2571" max="2822" width="9.140625" style="43"/>
    <col min="2823" max="2823" width="7.42578125" style="43" customWidth="1"/>
    <col min="2824" max="2824" width="20.42578125" style="43" customWidth="1"/>
    <col min="2825" max="2825" width="17.140625" style="43" customWidth="1"/>
    <col min="2826" max="2826" width="12.7109375" style="43" customWidth="1"/>
    <col min="2827" max="3078" width="9.140625" style="43"/>
    <col min="3079" max="3079" width="7.42578125" style="43" customWidth="1"/>
    <col min="3080" max="3080" width="20.42578125" style="43" customWidth="1"/>
    <col min="3081" max="3081" width="17.140625" style="43" customWidth="1"/>
    <col min="3082" max="3082" width="12.7109375" style="43" customWidth="1"/>
    <col min="3083" max="3334" width="9.140625" style="43"/>
    <col min="3335" max="3335" width="7.42578125" style="43" customWidth="1"/>
    <col min="3336" max="3336" width="20.42578125" style="43" customWidth="1"/>
    <col min="3337" max="3337" width="17.140625" style="43" customWidth="1"/>
    <col min="3338" max="3338" width="12.7109375" style="43" customWidth="1"/>
    <col min="3339" max="3590" width="9.140625" style="43"/>
    <col min="3591" max="3591" width="7.42578125" style="43" customWidth="1"/>
    <col min="3592" max="3592" width="20.42578125" style="43" customWidth="1"/>
    <col min="3593" max="3593" width="17.140625" style="43" customWidth="1"/>
    <col min="3594" max="3594" width="12.7109375" style="43" customWidth="1"/>
    <col min="3595" max="3846" width="9.140625" style="43"/>
    <col min="3847" max="3847" width="7.42578125" style="43" customWidth="1"/>
    <col min="3848" max="3848" width="20.42578125" style="43" customWidth="1"/>
    <col min="3849" max="3849" width="17.140625" style="43" customWidth="1"/>
    <col min="3850" max="3850" width="12.7109375" style="43" customWidth="1"/>
    <col min="3851" max="4102" width="9.140625" style="43"/>
    <col min="4103" max="4103" width="7.42578125" style="43" customWidth="1"/>
    <col min="4104" max="4104" width="20.42578125" style="43" customWidth="1"/>
    <col min="4105" max="4105" width="17.140625" style="43" customWidth="1"/>
    <col min="4106" max="4106" width="12.7109375" style="43" customWidth="1"/>
    <col min="4107" max="4358" width="9.140625" style="43"/>
    <col min="4359" max="4359" width="7.42578125" style="43" customWidth="1"/>
    <col min="4360" max="4360" width="20.42578125" style="43" customWidth="1"/>
    <col min="4361" max="4361" width="17.140625" style="43" customWidth="1"/>
    <col min="4362" max="4362" width="12.7109375" style="43" customWidth="1"/>
    <col min="4363" max="4614" width="9.140625" style="43"/>
    <col min="4615" max="4615" width="7.42578125" style="43" customWidth="1"/>
    <col min="4616" max="4616" width="20.42578125" style="43" customWidth="1"/>
    <col min="4617" max="4617" width="17.140625" style="43" customWidth="1"/>
    <col min="4618" max="4618" width="12.7109375" style="43" customWidth="1"/>
    <col min="4619" max="4870" width="9.140625" style="43"/>
    <col min="4871" max="4871" width="7.42578125" style="43" customWidth="1"/>
    <col min="4872" max="4872" width="20.42578125" style="43" customWidth="1"/>
    <col min="4873" max="4873" width="17.140625" style="43" customWidth="1"/>
    <col min="4874" max="4874" width="12.7109375" style="43" customWidth="1"/>
    <col min="4875" max="5126" width="9.140625" style="43"/>
    <col min="5127" max="5127" width="7.42578125" style="43" customWidth="1"/>
    <col min="5128" max="5128" width="20.42578125" style="43" customWidth="1"/>
    <col min="5129" max="5129" width="17.140625" style="43" customWidth="1"/>
    <col min="5130" max="5130" width="12.7109375" style="43" customWidth="1"/>
    <col min="5131" max="5382" width="9.140625" style="43"/>
    <col min="5383" max="5383" width="7.42578125" style="43" customWidth="1"/>
    <col min="5384" max="5384" width="20.42578125" style="43" customWidth="1"/>
    <col min="5385" max="5385" width="17.140625" style="43" customWidth="1"/>
    <col min="5386" max="5386" width="12.7109375" style="43" customWidth="1"/>
    <col min="5387" max="5638" width="9.140625" style="43"/>
    <col min="5639" max="5639" width="7.42578125" style="43" customWidth="1"/>
    <col min="5640" max="5640" width="20.42578125" style="43" customWidth="1"/>
    <col min="5641" max="5641" width="17.140625" style="43" customWidth="1"/>
    <col min="5642" max="5642" width="12.7109375" style="43" customWidth="1"/>
    <col min="5643" max="5894" width="9.140625" style="43"/>
    <col min="5895" max="5895" width="7.42578125" style="43" customWidth="1"/>
    <col min="5896" max="5896" width="20.42578125" style="43" customWidth="1"/>
    <col min="5897" max="5897" width="17.140625" style="43" customWidth="1"/>
    <col min="5898" max="5898" width="12.7109375" style="43" customWidth="1"/>
    <col min="5899" max="6150" width="9.140625" style="43"/>
    <col min="6151" max="6151" width="7.42578125" style="43" customWidth="1"/>
    <col min="6152" max="6152" width="20.42578125" style="43" customWidth="1"/>
    <col min="6153" max="6153" width="17.140625" style="43" customWidth="1"/>
    <col min="6154" max="6154" width="12.7109375" style="43" customWidth="1"/>
    <col min="6155" max="6406" width="9.140625" style="43"/>
    <col min="6407" max="6407" width="7.42578125" style="43" customWidth="1"/>
    <col min="6408" max="6408" width="20.42578125" style="43" customWidth="1"/>
    <col min="6409" max="6409" width="17.140625" style="43" customWidth="1"/>
    <col min="6410" max="6410" width="12.7109375" style="43" customWidth="1"/>
    <col min="6411" max="6662" width="9.140625" style="43"/>
    <col min="6663" max="6663" width="7.42578125" style="43" customWidth="1"/>
    <col min="6664" max="6664" width="20.42578125" style="43" customWidth="1"/>
    <col min="6665" max="6665" width="17.140625" style="43" customWidth="1"/>
    <col min="6666" max="6666" width="12.7109375" style="43" customWidth="1"/>
    <col min="6667" max="6918" width="9.140625" style="43"/>
    <col min="6919" max="6919" width="7.42578125" style="43" customWidth="1"/>
    <col min="6920" max="6920" width="20.42578125" style="43" customWidth="1"/>
    <col min="6921" max="6921" width="17.140625" style="43" customWidth="1"/>
    <col min="6922" max="6922" width="12.7109375" style="43" customWidth="1"/>
    <col min="6923" max="7174" width="9.140625" style="43"/>
    <col min="7175" max="7175" width="7.42578125" style="43" customWidth="1"/>
    <col min="7176" max="7176" width="20.42578125" style="43" customWidth="1"/>
    <col min="7177" max="7177" width="17.140625" style="43" customWidth="1"/>
    <col min="7178" max="7178" width="12.7109375" style="43" customWidth="1"/>
    <col min="7179" max="7430" width="9.140625" style="43"/>
    <col min="7431" max="7431" width="7.42578125" style="43" customWidth="1"/>
    <col min="7432" max="7432" width="20.42578125" style="43" customWidth="1"/>
    <col min="7433" max="7433" width="17.140625" style="43" customWidth="1"/>
    <col min="7434" max="7434" width="12.7109375" style="43" customWidth="1"/>
    <col min="7435" max="7686" width="9.140625" style="43"/>
    <col min="7687" max="7687" width="7.42578125" style="43" customWidth="1"/>
    <col min="7688" max="7688" width="20.42578125" style="43" customWidth="1"/>
    <col min="7689" max="7689" width="17.140625" style="43" customWidth="1"/>
    <col min="7690" max="7690" width="12.7109375" style="43" customWidth="1"/>
    <col min="7691" max="7942" width="9.140625" style="43"/>
    <col min="7943" max="7943" width="7.42578125" style="43" customWidth="1"/>
    <col min="7944" max="7944" width="20.42578125" style="43" customWidth="1"/>
    <col min="7945" max="7945" width="17.140625" style="43" customWidth="1"/>
    <col min="7946" max="7946" width="12.7109375" style="43" customWidth="1"/>
    <col min="7947" max="8198" width="9.140625" style="43"/>
    <col min="8199" max="8199" width="7.42578125" style="43" customWidth="1"/>
    <col min="8200" max="8200" width="20.42578125" style="43" customWidth="1"/>
    <col min="8201" max="8201" width="17.140625" style="43" customWidth="1"/>
    <col min="8202" max="8202" width="12.7109375" style="43" customWidth="1"/>
    <col min="8203" max="8454" width="9.140625" style="43"/>
    <col min="8455" max="8455" width="7.42578125" style="43" customWidth="1"/>
    <col min="8456" max="8456" width="20.42578125" style="43" customWidth="1"/>
    <col min="8457" max="8457" width="17.140625" style="43" customWidth="1"/>
    <col min="8458" max="8458" width="12.7109375" style="43" customWidth="1"/>
    <col min="8459" max="8710" width="9.140625" style="43"/>
    <col min="8711" max="8711" width="7.42578125" style="43" customWidth="1"/>
    <col min="8712" max="8712" width="20.42578125" style="43" customWidth="1"/>
    <col min="8713" max="8713" width="17.140625" style="43" customWidth="1"/>
    <col min="8714" max="8714" width="12.7109375" style="43" customWidth="1"/>
    <col min="8715" max="8966" width="9.140625" style="43"/>
    <col min="8967" max="8967" width="7.42578125" style="43" customWidth="1"/>
    <col min="8968" max="8968" width="20.42578125" style="43" customWidth="1"/>
    <col min="8969" max="8969" width="17.140625" style="43" customWidth="1"/>
    <col min="8970" max="8970" width="12.7109375" style="43" customWidth="1"/>
    <col min="8971" max="9222" width="9.140625" style="43"/>
    <col min="9223" max="9223" width="7.42578125" style="43" customWidth="1"/>
    <col min="9224" max="9224" width="20.42578125" style="43" customWidth="1"/>
    <col min="9225" max="9225" width="17.140625" style="43" customWidth="1"/>
    <col min="9226" max="9226" width="12.7109375" style="43" customWidth="1"/>
    <col min="9227" max="9478" width="9.140625" style="43"/>
    <col min="9479" max="9479" width="7.42578125" style="43" customWidth="1"/>
    <col min="9480" max="9480" width="20.42578125" style="43" customWidth="1"/>
    <col min="9481" max="9481" width="17.140625" style="43" customWidth="1"/>
    <col min="9482" max="9482" width="12.7109375" style="43" customWidth="1"/>
    <col min="9483" max="9734" width="9.140625" style="43"/>
    <col min="9735" max="9735" width="7.42578125" style="43" customWidth="1"/>
    <col min="9736" max="9736" width="20.42578125" style="43" customWidth="1"/>
    <col min="9737" max="9737" width="17.140625" style="43" customWidth="1"/>
    <col min="9738" max="9738" width="12.7109375" style="43" customWidth="1"/>
    <col min="9739" max="9990" width="9.140625" style="43"/>
    <col min="9991" max="9991" width="7.42578125" style="43" customWidth="1"/>
    <col min="9992" max="9992" width="20.42578125" style="43" customWidth="1"/>
    <col min="9993" max="9993" width="17.140625" style="43" customWidth="1"/>
    <col min="9994" max="9994" width="12.7109375" style="43" customWidth="1"/>
    <col min="9995" max="10246" width="9.140625" style="43"/>
    <col min="10247" max="10247" width="7.42578125" style="43" customWidth="1"/>
    <col min="10248" max="10248" width="20.42578125" style="43" customWidth="1"/>
    <col min="10249" max="10249" width="17.140625" style="43" customWidth="1"/>
    <col min="10250" max="10250" width="12.7109375" style="43" customWidth="1"/>
    <col min="10251" max="10502" width="9.140625" style="43"/>
    <col min="10503" max="10503" width="7.42578125" style="43" customWidth="1"/>
    <col min="10504" max="10504" width="20.42578125" style="43" customWidth="1"/>
    <col min="10505" max="10505" width="17.140625" style="43" customWidth="1"/>
    <col min="10506" max="10506" width="12.7109375" style="43" customWidth="1"/>
    <col min="10507" max="10758" width="9.140625" style="43"/>
    <col min="10759" max="10759" width="7.42578125" style="43" customWidth="1"/>
    <col min="10760" max="10760" width="20.42578125" style="43" customWidth="1"/>
    <col min="10761" max="10761" width="17.140625" style="43" customWidth="1"/>
    <col min="10762" max="10762" width="12.7109375" style="43" customWidth="1"/>
    <col min="10763" max="11014" width="9.140625" style="43"/>
    <col min="11015" max="11015" width="7.42578125" style="43" customWidth="1"/>
    <col min="11016" max="11016" width="20.42578125" style="43" customWidth="1"/>
    <col min="11017" max="11017" width="17.140625" style="43" customWidth="1"/>
    <col min="11018" max="11018" width="12.7109375" style="43" customWidth="1"/>
    <col min="11019" max="11270" width="9.140625" style="43"/>
    <col min="11271" max="11271" width="7.42578125" style="43" customWidth="1"/>
    <col min="11272" max="11272" width="20.42578125" style="43" customWidth="1"/>
    <col min="11273" max="11273" width="17.140625" style="43" customWidth="1"/>
    <col min="11274" max="11274" width="12.7109375" style="43" customWidth="1"/>
    <col min="11275" max="11526" width="9.140625" style="43"/>
    <col min="11527" max="11527" width="7.42578125" style="43" customWidth="1"/>
    <col min="11528" max="11528" width="20.42578125" style="43" customWidth="1"/>
    <col min="11529" max="11529" width="17.140625" style="43" customWidth="1"/>
    <col min="11530" max="11530" width="12.7109375" style="43" customWidth="1"/>
    <col min="11531" max="11782" width="9.140625" style="43"/>
    <col min="11783" max="11783" width="7.42578125" style="43" customWidth="1"/>
    <col min="11784" max="11784" width="20.42578125" style="43" customWidth="1"/>
    <col min="11785" max="11785" width="17.140625" style="43" customWidth="1"/>
    <col min="11786" max="11786" width="12.7109375" style="43" customWidth="1"/>
    <col min="11787" max="12038" width="9.140625" style="43"/>
    <col min="12039" max="12039" width="7.42578125" style="43" customWidth="1"/>
    <col min="12040" max="12040" width="20.42578125" style="43" customWidth="1"/>
    <col min="12041" max="12041" width="17.140625" style="43" customWidth="1"/>
    <col min="12042" max="12042" width="12.7109375" style="43" customWidth="1"/>
    <col min="12043" max="12294" width="9.140625" style="43"/>
    <col min="12295" max="12295" width="7.42578125" style="43" customWidth="1"/>
    <col min="12296" max="12296" width="20.42578125" style="43" customWidth="1"/>
    <col min="12297" max="12297" width="17.140625" style="43" customWidth="1"/>
    <col min="12298" max="12298" width="12.7109375" style="43" customWidth="1"/>
    <col min="12299" max="12550" width="9.140625" style="43"/>
    <col min="12551" max="12551" width="7.42578125" style="43" customWidth="1"/>
    <col min="12552" max="12552" width="20.42578125" style="43" customWidth="1"/>
    <col min="12553" max="12553" width="17.140625" style="43" customWidth="1"/>
    <col min="12554" max="12554" width="12.7109375" style="43" customWidth="1"/>
    <col min="12555" max="12806" width="9.140625" style="43"/>
    <col min="12807" max="12807" width="7.42578125" style="43" customWidth="1"/>
    <col min="12808" max="12808" width="20.42578125" style="43" customWidth="1"/>
    <col min="12809" max="12809" width="17.140625" style="43" customWidth="1"/>
    <col min="12810" max="12810" width="12.7109375" style="43" customWidth="1"/>
    <col min="12811" max="13062" width="9.140625" style="43"/>
    <col min="13063" max="13063" width="7.42578125" style="43" customWidth="1"/>
    <col min="13064" max="13064" width="20.42578125" style="43" customWidth="1"/>
    <col min="13065" max="13065" width="17.140625" style="43" customWidth="1"/>
    <col min="13066" max="13066" width="12.7109375" style="43" customWidth="1"/>
    <col min="13067" max="13318" width="9.140625" style="43"/>
    <col min="13319" max="13319" width="7.42578125" style="43" customWidth="1"/>
    <col min="13320" max="13320" width="20.42578125" style="43" customWidth="1"/>
    <col min="13321" max="13321" width="17.140625" style="43" customWidth="1"/>
    <col min="13322" max="13322" width="12.7109375" style="43" customWidth="1"/>
    <col min="13323" max="13574" width="9.140625" style="43"/>
    <col min="13575" max="13575" width="7.42578125" style="43" customWidth="1"/>
    <col min="13576" max="13576" width="20.42578125" style="43" customWidth="1"/>
    <col min="13577" max="13577" width="17.140625" style="43" customWidth="1"/>
    <col min="13578" max="13578" width="12.7109375" style="43" customWidth="1"/>
    <col min="13579" max="13830" width="9.140625" style="43"/>
    <col min="13831" max="13831" width="7.42578125" style="43" customWidth="1"/>
    <col min="13832" max="13832" width="20.42578125" style="43" customWidth="1"/>
    <col min="13833" max="13833" width="17.140625" style="43" customWidth="1"/>
    <col min="13834" max="13834" width="12.7109375" style="43" customWidth="1"/>
    <col min="13835" max="14086" width="9.140625" style="43"/>
    <col min="14087" max="14087" width="7.42578125" style="43" customWidth="1"/>
    <col min="14088" max="14088" width="20.42578125" style="43" customWidth="1"/>
    <col min="14089" max="14089" width="17.140625" style="43" customWidth="1"/>
    <col min="14090" max="14090" width="12.7109375" style="43" customWidth="1"/>
    <col min="14091" max="14342" width="9.140625" style="43"/>
    <col min="14343" max="14343" width="7.42578125" style="43" customWidth="1"/>
    <col min="14344" max="14344" width="20.42578125" style="43" customWidth="1"/>
    <col min="14345" max="14345" width="17.140625" style="43" customWidth="1"/>
    <col min="14346" max="14346" width="12.7109375" style="43" customWidth="1"/>
    <col min="14347" max="14598" width="9.140625" style="43"/>
    <col min="14599" max="14599" width="7.42578125" style="43" customWidth="1"/>
    <col min="14600" max="14600" width="20.42578125" style="43" customWidth="1"/>
    <col min="14601" max="14601" width="17.140625" style="43" customWidth="1"/>
    <col min="14602" max="14602" width="12.7109375" style="43" customWidth="1"/>
    <col min="14603" max="14854" width="9.140625" style="43"/>
    <col min="14855" max="14855" width="7.42578125" style="43" customWidth="1"/>
    <col min="14856" max="14856" width="20.42578125" style="43" customWidth="1"/>
    <col min="14857" max="14857" width="17.140625" style="43" customWidth="1"/>
    <col min="14858" max="14858" width="12.7109375" style="43" customWidth="1"/>
    <col min="14859" max="15110" width="9.140625" style="43"/>
    <col min="15111" max="15111" width="7.42578125" style="43" customWidth="1"/>
    <col min="15112" max="15112" width="20.42578125" style="43" customWidth="1"/>
    <col min="15113" max="15113" width="17.140625" style="43" customWidth="1"/>
    <col min="15114" max="15114" width="12.7109375" style="43" customWidth="1"/>
    <col min="15115" max="15366" width="9.140625" style="43"/>
    <col min="15367" max="15367" width="7.42578125" style="43" customWidth="1"/>
    <col min="15368" max="15368" width="20.42578125" style="43" customWidth="1"/>
    <col min="15369" max="15369" width="17.140625" style="43" customWidth="1"/>
    <col min="15370" max="15370" width="12.7109375" style="43" customWidth="1"/>
    <col min="15371" max="15622" width="9.140625" style="43"/>
    <col min="15623" max="15623" width="7.42578125" style="43" customWidth="1"/>
    <col min="15624" max="15624" width="20.42578125" style="43" customWidth="1"/>
    <col min="15625" max="15625" width="17.140625" style="43" customWidth="1"/>
    <col min="15626" max="15626" width="12.7109375" style="43" customWidth="1"/>
    <col min="15627" max="15878" width="9.140625" style="43"/>
    <col min="15879" max="15879" width="7.42578125" style="43" customWidth="1"/>
    <col min="15880" max="15880" width="20.42578125" style="43" customWidth="1"/>
    <col min="15881" max="15881" width="17.140625" style="43" customWidth="1"/>
    <col min="15882" max="15882" width="12.7109375" style="43" customWidth="1"/>
    <col min="15883" max="16134" width="9.140625" style="43"/>
    <col min="16135" max="16135" width="7.42578125" style="43" customWidth="1"/>
    <col min="16136" max="16136" width="20.42578125" style="43" customWidth="1"/>
    <col min="16137" max="16137" width="17.140625" style="43" customWidth="1"/>
    <col min="16138" max="16138" width="12.7109375" style="43" customWidth="1"/>
    <col min="16139" max="16384" width="9.140625" style="43"/>
  </cols>
  <sheetData>
    <row r="6" spans="3:9" s="43" customFormat="1" x14ac:dyDescent="0.3">
      <c r="C6" s="42" t="s">
        <v>132</v>
      </c>
      <c r="E6" s="44" t="s">
        <v>170</v>
      </c>
      <c r="F6" s="44"/>
      <c r="G6" s="44"/>
      <c r="H6" s="44"/>
    </row>
    <row r="8" spans="3:9" s="43" customFormat="1" ht="55.5" customHeight="1" x14ac:dyDescent="0.3">
      <c r="C8" s="45" t="s">
        <v>130</v>
      </c>
      <c r="D8" s="46"/>
      <c r="E8" s="47" t="s">
        <v>171</v>
      </c>
      <c r="F8" s="47"/>
      <c r="G8" s="47"/>
      <c r="H8" s="47"/>
      <c r="I8" s="46"/>
    </row>
    <row r="10" spans="3:9" s="43" customFormat="1" ht="16.5" customHeight="1" x14ac:dyDescent="0.3">
      <c r="C10" s="42" t="s">
        <v>131</v>
      </c>
      <c r="E10" s="48" t="s">
        <v>172</v>
      </c>
      <c r="F10" s="48"/>
      <c r="G10" s="48"/>
      <c r="H10" s="48"/>
    </row>
    <row r="11" spans="3:9" s="43" customFormat="1" x14ac:dyDescent="0.3">
      <c r="E11" s="48"/>
      <c r="F11" s="48"/>
      <c r="G11" s="48"/>
      <c r="H11" s="48"/>
    </row>
    <row r="13" spans="3:9" s="43" customFormat="1" x14ac:dyDescent="0.3">
      <c r="C13" s="49" t="s">
        <v>30</v>
      </c>
    </row>
    <row r="17" spans="3:8" s="43" customFormat="1" x14ac:dyDescent="0.3">
      <c r="C17" s="50" t="s">
        <v>121</v>
      </c>
      <c r="D17" s="51"/>
      <c r="E17" s="51"/>
      <c r="F17" s="51"/>
      <c r="G17" s="51"/>
      <c r="H17" s="52">
        <f>'1. PREDDELA'!G31</f>
        <v>0</v>
      </c>
    </row>
    <row r="18" spans="3:8" s="43" customFormat="1" x14ac:dyDescent="0.3">
      <c r="H18" s="53"/>
    </row>
    <row r="19" spans="3:8" s="43" customFormat="1" x14ac:dyDescent="0.3">
      <c r="C19" s="50" t="s">
        <v>122</v>
      </c>
      <c r="D19" s="51"/>
      <c r="E19" s="51"/>
      <c r="F19" s="51"/>
      <c r="G19" s="51"/>
      <c r="H19" s="52">
        <f>'2. ZEMELJSKA DELA'!G43</f>
        <v>0</v>
      </c>
    </row>
    <row r="20" spans="3:8" s="43" customFormat="1" x14ac:dyDescent="0.3">
      <c r="H20" s="53"/>
    </row>
    <row r="21" spans="3:8" s="43" customFormat="1" x14ac:dyDescent="0.3">
      <c r="C21" s="50" t="s">
        <v>123</v>
      </c>
      <c r="D21" s="51"/>
      <c r="E21" s="51"/>
      <c r="F21" s="51"/>
      <c r="G21" s="51"/>
      <c r="H21" s="52">
        <f>'3. VOZIŠČNE KONSTRUKCIJE'!G6</f>
        <v>0</v>
      </c>
    </row>
    <row r="22" spans="3:8" s="43" customFormat="1" x14ac:dyDescent="0.3">
      <c r="H22" s="53"/>
    </row>
    <row r="23" spans="3:8" s="43" customFormat="1" x14ac:dyDescent="0.3">
      <c r="C23" s="50" t="s">
        <v>181</v>
      </c>
      <c r="D23" s="51"/>
      <c r="E23" s="51"/>
      <c r="F23" s="51"/>
      <c r="G23" s="51"/>
      <c r="H23" s="52">
        <f>'4. ODVODNJAVANJE'!G10</f>
        <v>0</v>
      </c>
    </row>
    <row r="24" spans="3:8" s="43" customFormat="1" x14ac:dyDescent="0.3">
      <c r="H24" s="53"/>
    </row>
    <row r="25" spans="3:8" s="43" customFormat="1" x14ac:dyDescent="0.3">
      <c r="C25" s="50" t="s">
        <v>124</v>
      </c>
      <c r="D25" s="51"/>
      <c r="E25" s="51"/>
      <c r="F25" s="51"/>
      <c r="G25" s="51"/>
      <c r="H25" s="52">
        <f>'5. GRADBENA IN OBRTNIŠKA DELA'!G45</f>
        <v>0</v>
      </c>
    </row>
    <row r="26" spans="3:8" s="43" customFormat="1" x14ac:dyDescent="0.3">
      <c r="H26" s="53"/>
    </row>
    <row r="27" spans="3:8" s="43" customFormat="1" x14ac:dyDescent="0.3">
      <c r="C27" s="50" t="s">
        <v>125</v>
      </c>
      <c r="D27" s="51"/>
      <c r="E27" s="51"/>
      <c r="F27" s="51"/>
      <c r="G27" s="51"/>
      <c r="H27" s="52">
        <f>'6. OPREMA CEST'!G6</f>
        <v>0</v>
      </c>
    </row>
    <row r="28" spans="3:8" s="43" customFormat="1" x14ac:dyDescent="0.3">
      <c r="H28" s="53"/>
    </row>
    <row r="29" spans="3:8" s="43" customFormat="1" x14ac:dyDescent="0.3">
      <c r="C29" s="50" t="s">
        <v>126</v>
      </c>
      <c r="D29" s="51"/>
      <c r="E29" s="51"/>
      <c r="F29" s="51"/>
      <c r="G29" s="51"/>
      <c r="H29" s="52">
        <f>'7. TUJE STORITVE'!G17</f>
        <v>0</v>
      </c>
    </row>
    <row r="30" spans="3:8" s="43" customFormat="1" x14ac:dyDescent="0.3">
      <c r="H30" s="53"/>
    </row>
    <row r="31" spans="3:8" s="43" customFormat="1" x14ac:dyDescent="0.3">
      <c r="C31" s="50" t="s">
        <v>166</v>
      </c>
      <c r="D31" s="51"/>
      <c r="E31" s="51"/>
      <c r="F31" s="51"/>
      <c r="G31" s="51"/>
      <c r="H31" s="52" t="str">
        <f>IF(SUM(H17:H29)=0,"",SUM(H17:H29)*0.1)</f>
        <v/>
      </c>
    </row>
    <row r="34" spans="2:8" s="43" customFormat="1" x14ac:dyDescent="0.3">
      <c r="F34" s="54" t="s">
        <v>31</v>
      </c>
      <c r="H34" s="53" t="str">
        <f>IF(SUM(H17:H31)=0,"",SUM(H17:H31))</f>
        <v/>
      </c>
    </row>
    <row r="35" spans="2:8" s="43" customFormat="1" x14ac:dyDescent="0.3">
      <c r="F35" s="54"/>
      <c r="H35" s="53"/>
    </row>
    <row r="36" spans="2:8" s="43" customFormat="1" x14ac:dyDescent="0.3">
      <c r="F36" s="54" t="s">
        <v>127</v>
      </c>
      <c r="H36" s="53" t="str">
        <f>IF(SUM(H34)=0,"",SUM(0.22*H34))</f>
        <v/>
      </c>
    </row>
    <row r="37" spans="2:8" s="43" customFormat="1" x14ac:dyDescent="0.3">
      <c r="H37" s="53"/>
    </row>
    <row r="38" spans="2:8" s="43" customFormat="1" x14ac:dyDescent="0.3">
      <c r="H38" s="55"/>
    </row>
    <row r="39" spans="2:8" s="43" customFormat="1" x14ac:dyDescent="0.3">
      <c r="C39" s="56" t="s">
        <v>32</v>
      </c>
      <c r="D39" s="51"/>
      <c r="E39" s="51"/>
      <c r="F39" s="51"/>
      <c r="G39" s="51"/>
      <c r="H39" s="57" t="str">
        <f>IF(SUM(H34:H36)=0,"",SUM(H34:H36))</f>
        <v/>
      </c>
    </row>
    <row r="44" spans="2:8" s="43" customFormat="1" ht="17.25" hidden="1" thickBot="1" x14ac:dyDescent="0.35">
      <c r="B44" s="58" t="s">
        <v>33</v>
      </c>
      <c r="C44" s="58"/>
      <c r="D44" s="58"/>
      <c r="E44" s="58"/>
      <c r="F44" s="59">
        <v>1</v>
      </c>
    </row>
  </sheetData>
  <sheetProtection algorithmName="SHA-512" hashValue="U7hnBYCjzYJ5wrV1qceDEJATVzZY65FteOLmwZmeK0bB1rWwXZv8sz1vfqCGGgNAqhzAw4hfbwbLnVbZUP5+dA==" saltValue="25vDRpzRl4rfYveOMsuLfw==" spinCount="100000" sheet="1" objects="1" scenarios="1"/>
  <mergeCells count="4">
    <mergeCell ref="B44:E44"/>
    <mergeCell ref="E6:H6"/>
    <mergeCell ref="E8:H8"/>
    <mergeCell ref="E10:H11"/>
  </mergeCells>
  <pageMargins left="0.7" right="0.7" top="0.75" bottom="0.75" header="0.3" footer="0.3"/>
  <pageSetup paperSize="9" fitToHeight="0" orientation="portrait" r:id="rId1"/>
  <headerFooter>
    <oddHeader>&amp;L&amp;"Braggadocio,Regular"&amp;18KP&amp;11rojekt&amp;18L&amp;"-,Regular"&amp;11   d.o.o.                                                                                                                  
Tbilisijska 61, 1000 Ljubljana&amp;C&amp;A</oddHeader>
    <oddFooter>&amp;L&amp;F&amp;RStran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FFC000"/>
    <pageSetUpPr fitToPage="1"/>
  </sheetPr>
  <dimension ref="A1:L33"/>
  <sheetViews>
    <sheetView view="pageBreakPreview" zoomScaleNormal="115" zoomScaleSheetLayoutView="100" zoomScalePageLayoutView="40" workbookViewId="0">
      <pane ySplit="3" topLeftCell="A4" activePane="bottomLeft" state="frozen"/>
      <selection activeCell="R13" sqref="R13"/>
      <selection pane="bottomLeft" activeCell="F9" sqref="F9"/>
    </sheetView>
  </sheetViews>
  <sheetFormatPr defaultColWidth="9.140625" defaultRowHeight="12.75" x14ac:dyDescent="0.2"/>
  <cols>
    <col min="1" max="1" width="2.140625" style="71" customWidth="1"/>
    <col min="2" max="2" width="6.140625" style="61" customWidth="1"/>
    <col min="3" max="3" width="5.42578125" style="62" customWidth="1"/>
    <col min="4" max="4" width="45.42578125" style="63" customWidth="1"/>
    <col min="5" max="5" width="9.140625" style="64"/>
    <col min="6" max="6" width="9.140625" style="64" customWidth="1"/>
    <col min="7" max="7" width="27" style="65" customWidth="1"/>
    <col min="8" max="8" width="3.42578125" style="66" customWidth="1"/>
    <col min="9" max="9" width="7.7109375" style="72" hidden="1" customWidth="1"/>
    <col min="10" max="10" width="21" style="73" hidden="1" customWidth="1"/>
    <col min="11" max="11" width="22.5703125" style="70" hidden="1" customWidth="1"/>
    <col min="12" max="12" width="12.5703125" style="70" hidden="1" customWidth="1"/>
    <col min="13" max="13" width="11.28515625" style="66" customWidth="1"/>
    <col min="14" max="16384" width="9.140625" style="66"/>
  </cols>
  <sheetData>
    <row r="1" spans="1:12" x14ac:dyDescent="0.2">
      <c r="A1" s="60"/>
      <c r="I1" s="67" t="s">
        <v>137</v>
      </c>
      <c r="J1" s="68" t="s">
        <v>133</v>
      </c>
      <c r="K1" s="69" t="s">
        <v>143</v>
      </c>
    </row>
    <row r="2" spans="1:12" ht="24.95" customHeight="1" x14ac:dyDescent="0.2">
      <c r="B2" s="11" t="s">
        <v>24</v>
      </c>
      <c r="C2" s="11" t="s">
        <v>29</v>
      </c>
      <c r="D2" s="11" t="s">
        <v>25</v>
      </c>
      <c r="E2" s="11" t="s">
        <v>26</v>
      </c>
      <c r="F2" s="11" t="s">
        <v>27</v>
      </c>
      <c r="G2" s="12" t="s">
        <v>28</v>
      </c>
    </row>
    <row r="3" spans="1:12" x14ac:dyDescent="0.2">
      <c r="B3" s="13"/>
      <c r="C3" s="13"/>
      <c r="D3" s="14"/>
      <c r="E3" s="31"/>
      <c r="F3" s="31"/>
      <c r="G3" s="15"/>
      <c r="K3" s="74"/>
    </row>
    <row r="4" spans="1:12" ht="15.75" x14ac:dyDescent="0.2">
      <c r="B4" s="75" t="s">
        <v>0</v>
      </c>
      <c r="C4" s="75"/>
      <c r="D4" s="75"/>
      <c r="E4" s="76"/>
      <c r="F4" s="76"/>
      <c r="G4" s="75"/>
    </row>
    <row r="5" spans="1:12" ht="12.75" customHeight="1" x14ac:dyDescent="0.2">
      <c r="B5" s="77"/>
      <c r="C5" s="77"/>
      <c r="D5" s="77"/>
      <c r="E5" s="78" t="str">
        <f>IF(SUM(E8:E10)=0,0,"")</f>
        <v/>
      </c>
      <c r="F5" s="78"/>
      <c r="G5" s="79"/>
    </row>
    <row r="6" spans="1:12" ht="21.2" customHeight="1" x14ac:dyDescent="0.3">
      <c r="B6" s="80" t="s">
        <v>18</v>
      </c>
      <c r="C6" s="81"/>
      <c r="D6" s="81"/>
      <c r="E6" s="82" t="str">
        <f>IF(SUM(E8:E10)=0,0,"")</f>
        <v/>
      </c>
      <c r="F6" s="82"/>
      <c r="G6" s="83"/>
    </row>
    <row r="7" spans="1:12" x14ac:dyDescent="0.2">
      <c r="E7" s="78" t="str">
        <f>IF(SUM(E8:E10)=0,0,"")</f>
        <v/>
      </c>
      <c r="F7" s="78"/>
      <c r="G7" s="79"/>
    </row>
    <row r="8" spans="1:12" ht="25.5" x14ac:dyDescent="0.2">
      <c r="B8" s="84" t="s">
        <v>2</v>
      </c>
      <c r="C8" s="85" t="s">
        <v>1</v>
      </c>
      <c r="D8" s="86" t="s">
        <v>34</v>
      </c>
      <c r="E8" s="87">
        <f>70/1000</f>
        <v>7.0000000000000007E-2</v>
      </c>
      <c r="F8" s="35"/>
      <c r="G8" s="87" t="str">
        <f t="shared" ref="G8:G9" si="0">IF(F8="","",E8*F8)</f>
        <v/>
      </c>
      <c r="I8" s="88">
        <v>2000</v>
      </c>
      <c r="J8" s="69"/>
      <c r="K8" s="66"/>
      <c r="L8" s="66"/>
    </row>
    <row r="9" spans="1:12" ht="38.25" x14ac:dyDescent="0.2">
      <c r="B9" s="84" t="s">
        <v>4</v>
      </c>
      <c r="C9" s="85" t="s">
        <v>3</v>
      </c>
      <c r="D9" s="86" t="s">
        <v>35</v>
      </c>
      <c r="E9" s="87">
        <v>1</v>
      </c>
      <c r="F9" s="35"/>
      <c r="G9" s="87" t="str">
        <f t="shared" si="0"/>
        <v/>
      </c>
      <c r="I9" s="89">
        <v>1000</v>
      </c>
      <c r="J9" s="69"/>
      <c r="K9" s="66"/>
      <c r="L9" s="66"/>
    </row>
    <row r="10" spans="1:12" ht="38.25" x14ac:dyDescent="0.2">
      <c r="B10" s="84" t="s">
        <v>151</v>
      </c>
      <c r="C10" s="85" t="s">
        <v>3</v>
      </c>
      <c r="D10" s="86" t="s">
        <v>157</v>
      </c>
      <c r="E10" s="87">
        <v>1</v>
      </c>
      <c r="F10" s="35"/>
      <c r="G10" s="87" t="str">
        <f t="shared" ref="G10" si="1">IF(F10="","",E10*F10)</f>
        <v/>
      </c>
      <c r="I10" s="89">
        <v>60</v>
      </c>
      <c r="J10" s="69"/>
      <c r="K10" s="61"/>
      <c r="L10" s="61"/>
    </row>
    <row r="11" spans="1:12" x14ac:dyDescent="0.2">
      <c r="E11" s="90"/>
      <c r="G11" s="91"/>
    </row>
    <row r="12" spans="1:12" ht="21.2" customHeight="1" x14ac:dyDescent="0.3">
      <c r="B12" s="80" t="s">
        <v>19</v>
      </c>
      <c r="C12" s="81"/>
      <c r="D12" s="81"/>
      <c r="E12" s="82"/>
      <c r="F12" s="82"/>
      <c r="G12" s="83"/>
    </row>
    <row r="13" spans="1:12" ht="21.2" customHeight="1" x14ac:dyDescent="0.25">
      <c r="B13" s="92" t="s">
        <v>20</v>
      </c>
      <c r="C13" s="92"/>
      <c r="D13" s="92"/>
      <c r="E13" s="93" t="str">
        <f>IF(SUM(E15:E20)=0,0,"")</f>
        <v/>
      </c>
      <c r="F13" s="93"/>
      <c r="G13" s="94"/>
      <c r="L13" s="66"/>
    </row>
    <row r="14" spans="1:12" x14ac:dyDescent="0.2">
      <c r="E14" s="78" t="str">
        <f>IF(SUM(E15:E20)=0,0,"")</f>
        <v/>
      </c>
      <c r="F14" s="78"/>
      <c r="G14" s="79"/>
      <c r="L14" s="66"/>
    </row>
    <row r="15" spans="1:12" ht="38.25" x14ac:dyDescent="0.2">
      <c r="B15" s="84" t="s">
        <v>7</v>
      </c>
      <c r="C15" s="85" t="s">
        <v>6</v>
      </c>
      <c r="D15" s="86" t="s">
        <v>173</v>
      </c>
      <c r="E15" s="95">
        <v>185</v>
      </c>
      <c r="F15" s="35"/>
      <c r="G15" s="87" t="str">
        <f t="shared" ref="G15:G20" si="2">IF(F15="","",E15*F15)</f>
        <v/>
      </c>
      <c r="I15" s="96">
        <v>15</v>
      </c>
      <c r="J15" s="69"/>
      <c r="K15" s="61"/>
      <c r="L15" s="66"/>
    </row>
    <row r="16" spans="1:12" ht="38.25" x14ac:dyDescent="0.2">
      <c r="B16" s="84" t="s">
        <v>8</v>
      </c>
      <c r="C16" s="85" t="s">
        <v>3</v>
      </c>
      <c r="D16" s="86" t="s">
        <v>159</v>
      </c>
      <c r="E16" s="95">
        <v>6</v>
      </c>
      <c r="F16" s="35"/>
      <c r="G16" s="87" t="str">
        <f t="shared" si="2"/>
        <v/>
      </c>
      <c r="I16" s="97">
        <v>50</v>
      </c>
      <c r="K16" s="71"/>
      <c r="L16" s="66"/>
    </row>
    <row r="17" spans="2:12" ht="38.25" x14ac:dyDescent="0.2">
      <c r="B17" s="84" t="s">
        <v>9</v>
      </c>
      <c r="C17" s="85" t="s">
        <v>3</v>
      </c>
      <c r="D17" s="86" t="s">
        <v>36</v>
      </c>
      <c r="E17" s="95">
        <v>2</v>
      </c>
      <c r="F17" s="35"/>
      <c r="G17" s="87" t="str">
        <f t="shared" si="2"/>
        <v/>
      </c>
      <c r="I17" s="96">
        <v>63</v>
      </c>
      <c r="K17" s="66"/>
      <c r="L17" s="66"/>
    </row>
    <row r="18" spans="2:12" ht="38.25" x14ac:dyDescent="0.2">
      <c r="B18" s="84" t="s">
        <v>10</v>
      </c>
      <c r="C18" s="85" t="s">
        <v>3</v>
      </c>
      <c r="D18" s="86" t="s">
        <v>160</v>
      </c>
      <c r="E18" s="87">
        <v>6</v>
      </c>
      <c r="F18" s="35"/>
      <c r="G18" s="87" t="str">
        <f t="shared" si="2"/>
        <v/>
      </c>
      <c r="I18" s="98">
        <v>60</v>
      </c>
      <c r="K18" s="66"/>
      <c r="L18" s="66"/>
    </row>
    <row r="19" spans="2:12" ht="38.25" x14ac:dyDescent="0.2">
      <c r="B19" s="84" t="s">
        <v>11</v>
      </c>
      <c r="C19" s="85" t="s">
        <v>3</v>
      </c>
      <c r="D19" s="86" t="s">
        <v>149</v>
      </c>
      <c r="E19" s="87">
        <v>2</v>
      </c>
      <c r="F19" s="35"/>
      <c r="G19" s="87" t="str">
        <f t="shared" si="2"/>
        <v/>
      </c>
      <c r="I19" s="96">
        <v>70</v>
      </c>
      <c r="K19" s="71"/>
      <c r="L19" s="66"/>
    </row>
    <row r="20" spans="2:12" ht="25.5" x14ac:dyDescent="0.2">
      <c r="B20" s="84" t="s">
        <v>12</v>
      </c>
      <c r="C20" s="85" t="s">
        <v>5</v>
      </c>
      <c r="D20" s="86" t="s">
        <v>174</v>
      </c>
      <c r="E20" s="87">
        <v>30</v>
      </c>
      <c r="F20" s="35"/>
      <c r="G20" s="87" t="str">
        <f t="shared" si="2"/>
        <v/>
      </c>
      <c r="I20" s="98">
        <v>1</v>
      </c>
      <c r="J20" s="69"/>
      <c r="K20" s="66"/>
      <c r="L20" s="66"/>
    </row>
    <row r="21" spans="2:12" x14ac:dyDescent="0.2">
      <c r="E21" s="64" t="str">
        <f>IF(SUM(E24:E24)=0,0,"")</f>
        <v/>
      </c>
      <c r="G21" s="99"/>
    </row>
    <row r="22" spans="2:12" ht="21.2" customHeight="1" x14ac:dyDescent="0.2">
      <c r="B22" s="100" t="s">
        <v>21</v>
      </c>
      <c r="C22" s="100"/>
      <c r="D22" s="100"/>
      <c r="E22" s="101" t="str">
        <f>IF(SUM(E24:E24)=0,0,"")</f>
        <v/>
      </c>
      <c r="F22" s="101"/>
      <c r="G22" s="102"/>
    </row>
    <row r="23" spans="2:12" x14ac:dyDescent="0.2">
      <c r="E23" s="64" t="str">
        <f>IF(SUM(E24:E24)=0,0,"")</f>
        <v/>
      </c>
      <c r="G23" s="99"/>
    </row>
    <row r="24" spans="2:12" ht="38.25" x14ac:dyDescent="0.2">
      <c r="B24" s="84" t="s">
        <v>16</v>
      </c>
      <c r="C24" s="85" t="s">
        <v>15</v>
      </c>
      <c r="D24" s="86" t="s">
        <v>176</v>
      </c>
      <c r="E24" s="87">
        <f>20*0.4+0.5*0.5*2+2.5*0.25*1+2.5*0.5*0.5</f>
        <v>9.75</v>
      </c>
      <c r="F24" s="35"/>
      <c r="G24" s="87" t="str">
        <f t="shared" ref="G24" si="3">IF(F24="","",E24*F24)</f>
        <v/>
      </c>
      <c r="I24" s="103">
        <v>70</v>
      </c>
      <c r="J24" s="69"/>
      <c r="K24" s="66"/>
      <c r="L24" s="66"/>
    </row>
    <row r="25" spans="2:12" x14ac:dyDescent="0.2">
      <c r="E25" s="90"/>
      <c r="F25" s="90"/>
      <c r="G25" s="91"/>
    </row>
    <row r="26" spans="2:12" ht="21.2" customHeight="1" x14ac:dyDescent="0.3">
      <c r="B26" s="80" t="s">
        <v>22</v>
      </c>
      <c r="C26" s="81"/>
      <c r="D26" s="81"/>
      <c r="E26" s="82"/>
      <c r="F26" s="82"/>
      <c r="G26" s="83"/>
    </row>
    <row r="27" spans="2:12" ht="21.2" customHeight="1" x14ac:dyDescent="0.25">
      <c r="B27" s="100" t="s">
        <v>23</v>
      </c>
      <c r="C27" s="100"/>
      <c r="D27" s="100"/>
      <c r="E27" s="104" t="str">
        <f>IF(SUM(E29:E29)=0,0,"")</f>
        <v/>
      </c>
      <c r="F27" s="105"/>
      <c r="G27" s="105"/>
      <c r="I27" s="106"/>
      <c r="J27" s="69"/>
      <c r="K27" s="66"/>
    </row>
    <row r="28" spans="2:12" x14ac:dyDescent="0.2">
      <c r="E28" s="78" t="str">
        <f>IF(SUM(E29:E29)=0,0,"")</f>
        <v/>
      </c>
      <c r="F28" s="79"/>
      <c r="G28" s="79"/>
      <c r="I28" s="106"/>
      <c r="J28" s="69"/>
      <c r="K28" s="66"/>
    </row>
    <row r="29" spans="2:12" ht="76.5" x14ac:dyDescent="0.2">
      <c r="B29" s="84" t="s">
        <v>17</v>
      </c>
      <c r="C29" s="85"/>
      <c r="D29" s="86" t="s">
        <v>158</v>
      </c>
      <c r="E29" s="95">
        <v>1</v>
      </c>
      <c r="F29" s="35"/>
      <c r="G29" s="87" t="str">
        <f>IF(F29="","",E29*F29)</f>
        <v/>
      </c>
      <c r="I29" s="107">
        <v>5000</v>
      </c>
      <c r="J29" s="69"/>
      <c r="K29" s="61"/>
    </row>
    <row r="30" spans="2:12" ht="13.5" thickBot="1" x14ac:dyDescent="0.25"/>
    <row r="31" spans="2:12" ht="16.5" thickBot="1" x14ac:dyDescent="0.25">
      <c r="D31" s="108" t="s">
        <v>37</v>
      </c>
      <c r="E31" s="109"/>
      <c r="F31" s="110"/>
      <c r="G31" s="111">
        <f>SUM(G8:G29)</f>
        <v>0</v>
      </c>
    </row>
    <row r="33" spans="4:4" x14ac:dyDescent="0.2">
      <c r="D33" s="112"/>
    </row>
  </sheetData>
  <sheetProtection algorithmName="SHA-512" hashValue="nzE4oAOivX6wYrUbvEIXfiedE7tUmjPxO4Ad3EnIEM9/vueCFRGouXMhC4bONAZlCkgr1XzGGGm7hsSJCs3kHw==" saltValue="msAYLmcYp6CgVHW6Me7GsA==" spinCount="100000" sheet="1" objects="1" scenarios="1"/>
  <dataConsolidate/>
  <mergeCells count="7">
    <mergeCell ref="B4:G4"/>
    <mergeCell ref="B6:D6"/>
    <mergeCell ref="B12:D12"/>
    <mergeCell ref="B13:D13"/>
    <mergeCell ref="B22:D22"/>
    <mergeCell ref="B26:D26"/>
    <mergeCell ref="B27:D27"/>
  </mergeCells>
  <pageMargins left="0.7" right="0.7" top="0.75" bottom="0.75" header="0.3" footer="0.3"/>
  <pageSetup paperSize="9" scale="83" fitToHeight="0" orientation="portrait" r:id="rId1"/>
  <headerFooter>
    <oddHeader>&amp;L&amp;"Braggadocio,Regular"&amp;18KP&amp;11rojekt&amp;18L&amp;"-,Regular"&amp;11   d.o.o.                                                                                                                  
Tbilisijska 61, 1000 Ljubljana&amp;C&amp;10&amp;A</oddHeader>
    <oddFooter>&amp;CStran &amp;P</oddFooter>
  </headerFooter>
  <rowBreaks count="1" manualBreakCount="1">
    <brk id="2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rgb="FFFFFF00"/>
    <pageSetUpPr fitToPage="1"/>
  </sheetPr>
  <dimension ref="A1:R43"/>
  <sheetViews>
    <sheetView view="pageBreakPreview" zoomScaleNormal="130" zoomScaleSheetLayoutView="100" zoomScalePageLayoutView="120" workbookViewId="0">
      <pane ySplit="2" topLeftCell="A3" activePane="bottomLeft" state="frozen"/>
      <selection activeCell="R13" sqref="R13"/>
      <selection pane="bottomLeft" activeCell="G10" sqref="G10"/>
    </sheetView>
  </sheetViews>
  <sheetFormatPr defaultColWidth="9.140625" defaultRowHeight="12.75" x14ac:dyDescent="0.2"/>
  <cols>
    <col min="1" max="1" width="2.140625" style="71" customWidth="1"/>
    <col min="2" max="2" width="6.28515625" style="61" customWidth="1"/>
    <col min="3" max="3" width="6.42578125" style="62" customWidth="1"/>
    <col min="4" max="4" width="45.42578125" style="63" customWidth="1"/>
    <col min="5" max="5" width="9.140625" style="64"/>
    <col min="6" max="6" width="9.140625" style="64" customWidth="1"/>
    <col min="7" max="7" width="27" style="65" customWidth="1"/>
    <col min="8" max="8" width="4" style="66" customWidth="1"/>
    <col min="9" max="9" width="8.7109375" style="113" hidden="1" customWidth="1"/>
    <col min="10" max="10" width="13.42578125" style="114" hidden="1" customWidth="1"/>
    <col min="11" max="11" width="43.5703125" style="117" hidden="1" customWidth="1"/>
    <col min="12" max="12" width="31.140625" style="70" hidden="1" customWidth="1"/>
    <col min="13" max="17" width="0" style="66" hidden="1" customWidth="1"/>
    <col min="18" max="18" width="84.28515625" style="66" hidden="1" customWidth="1"/>
    <col min="19" max="16384" width="9.140625" style="66"/>
  </cols>
  <sheetData>
    <row r="1" spans="1:14" x14ac:dyDescent="0.2">
      <c r="A1" s="60"/>
      <c r="I1" s="113" t="s">
        <v>137</v>
      </c>
      <c r="J1" s="114" t="s">
        <v>144</v>
      </c>
      <c r="K1" s="115" t="s">
        <v>143</v>
      </c>
    </row>
    <row r="2" spans="1:14" ht="24.95" customHeight="1" x14ac:dyDescent="0.2">
      <c r="B2" s="11" t="s">
        <v>24</v>
      </c>
      <c r="C2" s="11" t="s">
        <v>29</v>
      </c>
      <c r="D2" s="11" t="s">
        <v>25</v>
      </c>
      <c r="E2" s="11" t="s">
        <v>26</v>
      </c>
      <c r="F2" s="11" t="s">
        <v>27</v>
      </c>
      <c r="G2" s="11" t="s">
        <v>28</v>
      </c>
      <c r="I2" s="116"/>
    </row>
    <row r="3" spans="1:14" x14ac:dyDescent="0.2">
      <c r="B3" s="13"/>
      <c r="C3" s="13"/>
      <c r="D3" s="14"/>
      <c r="E3" s="31"/>
      <c r="F3" s="31"/>
      <c r="G3" s="15"/>
    </row>
    <row r="4" spans="1:14" ht="15.75" x14ac:dyDescent="0.2">
      <c r="B4" s="75" t="s">
        <v>38</v>
      </c>
      <c r="C4" s="75"/>
      <c r="D4" s="75"/>
      <c r="E4" s="76"/>
      <c r="F4" s="76"/>
      <c r="G4" s="75"/>
      <c r="M4" s="66" t="s">
        <v>162</v>
      </c>
      <c r="N4" s="118">
        <f>(423.77)*1.1</f>
        <v>466.14699999999999</v>
      </c>
    </row>
    <row r="5" spans="1:14" ht="12.75" customHeight="1" x14ac:dyDescent="0.2">
      <c r="B5" s="77"/>
      <c r="C5" s="77"/>
      <c r="D5" s="77"/>
      <c r="E5" s="78" t="str">
        <f>IF(SUM(E8:E12)=0,0,"")</f>
        <v/>
      </c>
      <c r="F5" s="78"/>
      <c r="G5" s="79"/>
      <c r="M5" s="66" t="s">
        <v>167</v>
      </c>
      <c r="N5" s="66">
        <v>0</v>
      </c>
    </row>
    <row r="6" spans="1:14" ht="21.2" customHeight="1" x14ac:dyDescent="0.3">
      <c r="B6" s="80" t="s">
        <v>59</v>
      </c>
      <c r="C6" s="81"/>
      <c r="D6" s="81"/>
      <c r="E6" s="82" t="str">
        <f>IF(SUM(E8:E12)=0,0,"")</f>
        <v/>
      </c>
      <c r="F6" s="82"/>
      <c r="G6" s="83"/>
      <c r="M6" s="66" t="s">
        <v>169</v>
      </c>
      <c r="N6" s="66">
        <v>0</v>
      </c>
    </row>
    <row r="7" spans="1:14" x14ac:dyDescent="0.2">
      <c r="E7" s="78" t="str">
        <f>IF(SUM(E8:E12)=0,0,"")</f>
        <v/>
      </c>
      <c r="F7" s="78"/>
      <c r="G7" s="79"/>
      <c r="M7" s="66" t="s">
        <v>168</v>
      </c>
      <c r="N7" s="118">
        <f>N4+N5+N6</f>
        <v>466.14699999999999</v>
      </c>
    </row>
    <row r="8" spans="1:14" ht="51" x14ac:dyDescent="0.2">
      <c r="B8" s="84" t="s">
        <v>39</v>
      </c>
      <c r="C8" s="85" t="s">
        <v>15</v>
      </c>
      <c r="D8" s="86" t="s">
        <v>161</v>
      </c>
      <c r="E8" s="95">
        <f>50*0.2*1.1</f>
        <v>11</v>
      </c>
      <c r="F8" s="36"/>
      <c r="G8" s="87" t="str">
        <f t="shared" ref="G8:G11" si="0">IF(F8="","",E8*F8)</f>
        <v/>
      </c>
      <c r="I8" s="113">
        <v>5.28</v>
      </c>
      <c r="J8" s="73"/>
      <c r="K8" s="63"/>
    </row>
    <row r="9" spans="1:14" ht="63.75" x14ac:dyDescent="0.2">
      <c r="B9" s="84" t="s">
        <v>41</v>
      </c>
      <c r="C9" s="85" t="s">
        <v>15</v>
      </c>
      <c r="D9" s="86" t="s">
        <v>179</v>
      </c>
      <c r="E9" s="87">
        <f>N7*0.05</f>
        <v>23.30735</v>
      </c>
      <c r="F9" s="35"/>
      <c r="G9" s="87" t="str">
        <f t="shared" si="0"/>
        <v/>
      </c>
      <c r="I9" s="96">
        <v>37.18</v>
      </c>
      <c r="J9" s="73"/>
      <c r="K9" s="66"/>
      <c r="L9" s="66"/>
    </row>
    <row r="10" spans="1:14" ht="63.75" x14ac:dyDescent="0.2">
      <c r="B10" s="84" t="s">
        <v>42</v>
      </c>
      <c r="C10" s="85" t="s">
        <v>15</v>
      </c>
      <c r="D10" s="86" t="s">
        <v>177</v>
      </c>
      <c r="E10" s="95">
        <f>N7*0.6</f>
        <v>279.68819999999999</v>
      </c>
      <c r="F10" s="36"/>
      <c r="G10" s="87" t="str">
        <f t="shared" si="0"/>
        <v/>
      </c>
      <c r="I10" s="113">
        <v>8.8000000000000007</v>
      </c>
      <c r="J10" s="73"/>
      <c r="K10" s="71"/>
    </row>
    <row r="11" spans="1:14" ht="63.75" x14ac:dyDescent="0.2">
      <c r="B11" s="84" t="s">
        <v>43</v>
      </c>
      <c r="C11" s="85" t="s">
        <v>15</v>
      </c>
      <c r="D11" s="86" t="s">
        <v>178</v>
      </c>
      <c r="E11" s="87">
        <f>N7*0.35</f>
        <v>163.15144999999998</v>
      </c>
      <c r="F11" s="35"/>
      <c r="G11" s="87" t="str">
        <f t="shared" si="0"/>
        <v/>
      </c>
      <c r="I11" s="113">
        <v>11.33</v>
      </c>
      <c r="J11" s="73"/>
      <c r="K11" s="66"/>
      <c r="L11" s="66"/>
    </row>
    <row r="12" spans="1:14" ht="38.25" x14ac:dyDescent="0.2">
      <c r="B12" s="84" t="s">
        <v>44</v>
      </c>
      <c r="C12" s="85" t="s">
        <v>5</v>
      </c>
      <c r="D12" s="86" t="s">
        <v>150</v>
      </c>
      <c r="E12" s="95">
        <f>25*8</f>
        <v>200</v>
      </c>
      <c r="F12" s="35"/>
      <c r="G12" s="87" t="str">
        <f t="shared" ref="G12" si="1">IF(F12="","",E12*F12)</f>
        <v/>
      </c>
      <c r="I12" s="98">
        <v>16</v>
      </c>
      <c r="J12" s="73"/>
      <c r="K12" s="61"/>
      <c r="L12" s="66"/>
    </row>
    <row r="13" spans="1:14" x14ac:dyDescent="0.2">
      <c r="E13" s="78" t="str">
        <f>IF(SUM(E16:E16)=0,0,"")</f>
        <v/>
      </c>
      <c r="F13" s="78"/>
      <c r="G13" s="79"/>
    </row>
    <row r="14" spans="1:14" ht="21.2" customHeight="1" x14ac:dyDescent="0.3">
      <c r="B14" s="80" t="s">
        <v>40</v>
      </c>
      <c r="C14" s="81"/>
      <c r="D14" s="81"/>
      <c r="E14" s="82" t="str">
        <f>IF(SUM(E16:E16)=0,0,"")</f>
        <v/>
      </c>
      <c r="F14" s="82"/>
      <c r="G14" s="83"/>
    </row>
    <row r="15" spans="1:14" x14ac:dyDescent="0.2">
      <c r="E15" s="78" t="str">
        <f>IF(SUM(E16:E16)=0,0,"")</f>
        <v/>
      </c>
      <c r="F15" s="78"/>
      <c r="G15" s="79"/>
    </row>
    <row r="16" spans="1:14" ht="25.5" x14ac:dyDescent="0.2">
      <c r="B16" s="84" t="s">
        <v>45</v>
      </c>
      <c r="C16" s="85" t="s">
        <v>6</v>
      </c>
      <c r="D16" s="119" t="s">
        <v>57</v>
      </c>
      <c r="E16" s="95">
        <f>250+(35*1)*1.15</f>
        <v>290.25</v>
      </c>
      <c r="F16" s="35"/>
      <c r="G16" s="87" t="str">
        <f t="shared" ref="G16" si="2">IF(F16="","",E16*F16)</f>
        <v/>
      </c>
      <c r="I16" s="120">
        <v>1.5</v>
      </c>
      <c r="J16" s="73"/>
      <c r="K16" s="66"/>
      <c r="L16" s="66"/>
    </row>
    <row r="17" spans="2:18" x14ac:dyDescent="0.2">
      <c r="E17" s="79"/>
      <c r="F17" s="78"/>
      <c r="G17" s="79"/>
      <c r="J17" s="73"/>
      <c r="K17" s="121"/>
      <c r="L17" s="66"/>
    </row>
    <row r="18" spans="2:18" ht="21.2" customHeight="1" x14ac:dyDescent="0.3">
      <c r="B18" s="80" t="s">
        <v>60</v>
      </c>
      <c r="C18" s="81"/>
      <c r="D18" s="81"/>
      <c r="E18" s="82" t="str">
        <f>IF(SUM(E19:E20)=0,0,"")</f>
        <v/>
      </c>
      <c r="F18" s="82"/>
      <c r="G18" s="83"/>
      <c r="J18" s="73"/>
      <c r="K18" s="66"/>
      <c r="L18" s="66"/>
    </row>
    <row r="19" spans="2:18" x14ac:dyDescent="0.2">
      <c r="B19" s="122"/>
      <c r="C19" s="123"/>
      <c r="D19" s="119"/>
      <c r="E19" s="95"/>
      <c r="F19" s="95"/>
      <c r="G19" s="95"/>
      <c r="I19" s="96"/>
      <c r="J19" s="73"/>
      <c r="K19" s="66"/>
      <c r="L19" s="66"/>
    </row>
    <row r="20" spans="2:18" ht="38.25" x14ac:dyDescent="0.2">
      <c r="B20" s="84" t="s">
        <v>46</v>
      </c>
      <c r="C20" s="85" t="s">
        <v>6</v>
      </c>
      <c r="D20" s="86" t="s">
        <v>58</v>
      </c>
      <c r="E20" s="87">
        <f>9*13</f>
        <v>117</v>
      </c>
      <c r="F20" s="36"/>
      <c r="G20" s="87" t="str">
        <f t="shared" ref="G20" si="3">IF(F20="","",E20*F20)</f>
        <v/>
      </c>
      <c r="I20" s="113">
        <v>2.5</v>
      </c>
      <c r="J20" s="73"/>
      <c r="K20" s="70"/>
    </row>
    <row r="21" spans="2:18" x14ac:dyDescent="0.2">
      <c r="E21" s="78"/>
      <c r="F21" s="78"/>
      <c r="G21" s="79"/>
      <c r="K21" s="124"/>
    </row>
    <row r="22" spans="2:18" ht="21.2" customHeight="1" x14ac:dyDescent="0.3">
      <c r="B22" s="80" t="s">
        <v>61</v>
      </c>
      <c r="C22" s="81"/>
      <c r="D22" s="81"/>
      <c r="E22" s="82"/>
      <c r="F22" s="82"/>
      <c r="G22" s="83"/>
    </row>
    <row r="23" spans="2:18" x14ac:dyDescent="0.2">
      <c r="E23" s="78"/>
      <c r="F23" s="78"/>
      <c r="G23" s="79"/>
    </row>
    <row r="24" spans="2:18" ht="76.5" x14ac:dyDescent="0.2">
      <c r="B24" s="84" t="s">
        <v>47</v>
      </c>
      <c r="C24" s="85" t="s">
        <v>15</v>
      </c>
      <c r="D24" s="86" t="s">
        <v>180</v>
      </c>
      <c r="E24" s="95">
        <f>N4*0.4</f>
        <v>186.4588</v>
      </c>
      <c r="F24" s="35"/>
      <c r="G24" s="87" t="str">
        <f t="shared" ref="G24" si="4">IF(F24="","",E24*F24)</f>
        <v/>
      </c>
      <c r="I24" s="98">
        <v>22</v>
      </c>
      <c r="J24" s="73"/>
      <c r="K24" s="61"/>
    </row>
    <row r="25" spans="2:18" ht="63.75" x14ac:dyDescent="0.2">
      <c r="B25" s="84" t="s">
        <v>48</v>
      </c>
      <c r="C25" s="85" t="s">
        <v>15</v>
      </c>
      <c r="D25" s="86" t="s">
        <v>184</v>
      </c>
      <c r="E25" s="95">
        <f>13*3.5*0.3*1.15</f>
        <v>15.6975</v>
      </c>
      <c r="F25" s="36"/>
      <c r="G25" s="87" t="str">
        <f t="shared" ref="G25" si="5">IF(F25="","",E25*F25)</f>
        <v/>
      </c>
      <c r="I25" s="113">
        <v>18</v>
      </c>
      <c r="K25" s="125"/>
      <c r="L25" s="61"/>
    </row>
    <row r="26" spans="2:18" x14ac:dyDescent="0.2">
      <c r="E26" s="78" t="str">
        <f>IF(SUM(E29:E31)=0,0,"")</f>
        <v/>
      </c>
      <c r="F26" s="78"/>
      <c r="G26" s="79"/>
    </row>
    <row r="27" spans="2:18" ht="21.2" customHeight="1" x14ac:dyDescent="0.3">
      <c r="B27" s="80" t="s">
        <v>62</v>
      </c>
      <c r="C27" s="81"/>
      <c r="D27" s="81"/>
      <c r="E27" s="82" t="str">
        <f>IF(SUM(E29:E31)=0,0,"")</f>
        <v/>
      </c>
      <c r="F27" s="82"/>
      <c r="G27" s="83"/>
      <c r="N27" s="126" t="s">
        <v>145</v>
      </c>
      <c r="O27" s="127"/>
      <c r="P27" s="128"/>
      <c r="R27" s="129"/>
    </row>
    <row r="28" spans="2:18" x14ac:dyDescent="0.2">
      <c r="E28" s="78" t="str">
        <f>IF(SUM(E29:E31)=0,0,"")</f>
        <v/>
      </c>
      <c r="F28" s="78"/>
      <c r="G28" s="79"/>
      <c r="N28" s="130" t="s">
        <v>146</v>
      </c>
      <c r="O28" s="131">
        <f>E8</f>
        <v>11</v>
      </c>
      <c r="P28" s="130" t="s">
        <v>15</v>
      </c>
    </row>
    <row r="29" spans="2:18" ht="38.25" x14ac:dyDescent="0.2">
      <c r="B29" s="84" t="s">
        <v>49</v>
      </c>
      <c r="C29" s="85" t="s">
        <v>6</v>
      </c>
      <c r="D29" s="86" t="s">
        <v>156</v>
      </c>
      <c r="E29" s="95">
        <f>350+25*2</f>
        <v>400</v>
      </c>
      <c r="F29" s="35"/>
      <c r="G29" s="87" t="str">
        <f t="shared" ref="G29:G30" si="6">IF(F29="","",E29*F29)</f>
        <v/>
      </c>
      <c r="I29" s="113">
        <v>5.8</v>
      </c>
      <c r="K29" s="63"/>
      <c r="L29" s="132"/>
      <c r="N29" s="130" t="s">
        <v>147</v>
      </c>
      <c r="O29" s="131" t="e">
        <f>#REF!+#REF!+#REF!+#REF!+'1. PREDDELA'!#REF!</f>
        <v>#REF!</v>
      </c>
      <c r="P29" s="130" t="s">
        <v>15</v>
      </c>
    </row>
    <row r="30" spans="2:18" ht="25.5" x14ac:dyDescent="0.2">
      <c r="B30" s="84" t="s">
        <v>50</v>
      </c>
      <c r="C30" s="85" t="s">
        <v>6</v>
      </c>
      <c r="D30" s="86" t="s">
        <v>138</v>
      </c>
      <c r="E30" s="95">
        <f>350+25*2</f>
        <v>400</v>
      </c>
      <c r="F30" s="35"/>
      <c r="G30" s="87" t="str">
        <f t="shared" si="6"/>
        <v/>
      </c>
      <c r="I30" s="113">
        <v>1.5</v>
      </c>
      <c r="K30" s="125"/>
      <c r="N30" s="130" t="s">
        <v>148</v>
      </c>
      <c r="O30" s="131" t="e">
        <f>'1. PREDDELA'!#REF!</f>
        <v>#REF!</v>
      </c>
      <c r="P30" s="130" t="s">
        <v>15</v>
      </c>
      <c r="Q30" s="133"/>
      <c r="R30" s="134"/>
    </row>
    <row r="31" spans="2:18" ht="51" x14ac:dyDescent="0.2">
      <c r="B31" s="84" t="s">
        <v>51</v>
      </c>
      <c r="C31" s="85" t="s">
        <v>15</v>
      </c>
      <c r="D31" s="86" t="s">
        <v>183</v>
      </c>
      <c r="E31" s="87">
        <f>33*0.6*1.25</f>
        <v>24.75</v>
      </c>
      <c r="F31" s="35"/>
      <c r="G31" s="87" t="str">
        <f t="shared" ref="G31" si="7">IF(F31="","",E31*F31)</f>
        <v/>
      </c>
      <c r="I31" s="96">
        <v>0</v>
      </c>
      <c r="J31" s="73"/>
      <c r="K31" s="66"/>
      <c r="L31" s="66"/>
    </row>
    <row r="32" spans="2:18" x14ac:dyDescent="0.2">
      <c r="E32" s="79" t="str">
        <f>IF(SUM(E35:E35)=0,0,"")</f>
        <v/>
      </c>
      <c r="F32" s="79"/>
      <c r="G32" s="79"/>
      <c r="I32" s="106"/>
      <c r="J32" s="73"/>
      <c r="K32" s="66"/>
      <c r="L32" s="66"/>
      <c r="N32" s="135"/>
    </row>
    <row r="33" spans="1:18" ht="21.2" customHeight="1" x14ac:dyDescent="0.3">
      <c r="B33" s="80" t="s">
        <v>63</v>
      </c>
      <c r="C33" s="81"/>
      <c r="D33" s="81"/>
      <c r="E33" s="136" t="str">
        <f>IF(SUM(E35:E35)=0,0,"")</f>
        <v/>
      </c>
      <c r="F33" s="136"/>
      <c r="G33" s="83"/>
      <c r="I33" s="106"/>
      <c r="J33" s="73"/>
      <c r="K33" s="66"/>
      <c r="L33" s="66"/>
      <c r="N33" s="137"/>
      <c r="Q33" s="135"/>
      <c r="R33" s="137"/>
    </row>
    <row r="34" spans="1:18" x14ac:dyDescent="0.2">
      <c r="E34" s="79" t="str">
        <f>IF(SUM(E35:E35)=0,0,"")</f>
        <v/>
      </c>
      <c r="F34" s="79"/>
      <c r="G34" s="79"/>
      <c r="I34" s="106"/>
      <c r="J34" s="73"/>
      <c r="K34" s="66"/>
      <c r="L34" s="66"/>
    </row>
    <row r="35" spans="1:18" ht="51" x14ac:dyDescent="0.2">
      <c r="B35" s="84" t="s">
        <v>152</v>
      </c>
      <c r="C35" s="85" t="s">
        <v>6</v>
      </c>
      <c r="D35" s="86" t="s">
        <v>153</v>
      </c>
      <c r="E35" s="95">
        <f>60+15*3</f>
        <v>105</v>
      </c>
      <c r="F35" s="35"/>
      <c r="G35" s="87" t="str">
        <f t="shared" ref="G35" si="8">IF(F35="","",E35*F35)</f>
        <v/>
      </c>
      <c r="H35" s="138"/>
      <c r="I35" s="107">
        <v>45</v>
      </c>
      <c r="J35" s="73"/>
      <c r="K35" s="70"/>
      <c r="L35" s="138"/>
      <c r="M35" s="139"/>
    </row>
    <row r="36" spans="1:18" x14ac:dyDescent="0.2">
      <c r="E36" s="78" t="str">
        <f>IF(SUM(E39:E41)=0,0,"")</f>
        <v/>
      </c>
      <c r="F36" s="78"/>
      <c r="G36" s="79"/>
      <c r="N36" s="135"/>
    </row>
    <row r="37" spans="1:18" s="137" customFormat="1" ht="21.2" customHeight="1" x14ac:dyDescent="0.3">
      <c r="A37" s="140"/>
      <c r="B37" s="141" t="s">
        <v>64</v>
      </c>
      <c r="C37" s="142"/>
      <c r="D37" s="142"/>
      <c r="E37" s="82" t="str">
        <f>IF(SUM(E39:E41)=0,0,"")</f>
        <v/>
      </c>
      <c r="F37" s="82"/>
      <c r="G37" s="143"/>
      <c r="I37" s="113"/>
      <c r="J37" s="144"/>
      <c r="K37" s="145"/>
      <c r="L37" s="146"/>
      <c r="Q37" s="135"/>
    </row>
    <row r="38" spans="1:18" s="137" customFormat="1" x14ac:dyDescent="0.2">
      <c r="A38" s="140"/>
      <c r="B38" s="129"/>
      <c r="C38" s="147"/>
      <c r="D38" s="112"/>
      <c r="E38" s="78" t="str">
        <f>IF(SUM(E39:E41)=0,0,"")</f>
        <v/>
      </c>
      <c r="F38" s="78"/>
      <c r="G38" s="78"/>
      <c r="I38" s="113"/>
      <c r="J38" s="144"/>
      <c r="K38" s="145"/>
      <c r="L38" s="146"/>
    </row>
    <row r="39" spans="1:18" s="137" customFormat="1" ht="25.5" x14ac:dyDescent="0.2">
      <c r="A39" s="140"/>
      <c r="B39" s="122" t="s">
        <v>53</v>
      </c>
      <c r="C39" s="123" t="s">
        <v>52</v>
      </c>
      <c r="D39" s="119" t="s">
        <v>139</v>
      </c>
      <c r="E39" s="95">
        <f>E40+E41</f>
        <v>1024.1837</v>
      </c>
      <c r="F39" s="36"/>
      <c r="G39" s="95" t="str">
        <f t="shared" ref="G39:G41" si="9">IF(F39="","",E39*F39)</f>
        <v/>
      </c>
      <c r="I39" s="113">
        <v>3.5</v>
      </c>
      <c r="J39" s="148"/>
      <c r="K39" s="149"/>
      <c r="L39" s="146"/>
      <c r="R39" s="129"/>
    </row>
    <row r="40" spans="1:18" s="137" customFormat="1" ht="38.25" x14ac:dyDescent="0.2">
      <c r="A40" s="140"/>
      <c r="B40" s="122" t="s">
        <v>54</v>
      </c>
      <c r="C40" s="123" t="s">
        <v>52</v>
      </c>
      <c r="D40" s="119" t="s">
        <v>129</v>
      </c>
      <c r="E40" s="95">
        <f>(E8)*1.9+(E9+E10+E11)*2.1</f>
        <v>999.80869999999993</v>
      </c>
      <c r="F40" s="36"/>
      <c r="G40" s="95" t="str">
        <f t="shared" si="9"/>
        <v/>
      </c>
      <c r="H40" s="135"/>
      <c r="I40" s="113">
        <v>3.5</v>
      </c>
      <c r="J40" s="150"/>
      <c r="K40" s="149"/>
    </row>
    <row r="41" spans="1:18" s="137" customFormat="1" ht="38.25" x14ac:dyDescent="0.2">
      <c r="A41" s="140"/>
      <c r="B41" s="122" t="s">
        <v>55</v>
      </c>
      <c r="C41" s="123" t="s">
        <v>52</v>
      </c>
      <c r="D41" s="119" t="s">
        <v>185</v>
      </c>
      <c r="E41" s="95">
        <f>'1. PREDDELA'!E24*2.5</f>
        <v>24.375</v>
      </c>
      <c r="F41" s="36"/>
      <c r="G41" s="95" t="str">
        <f t="shared" si="9"/>
        <v/>
      </c>
      <c r="H41" s="135"/>
      <c r="I41" s="113">
        <v>9.5</v>
      </c>
      <c r="J41" s="151"/>
      <c r="K41" s="149"/>
      <c r="L41" s="129"/>
    </row>
    <row r="42" spans="1:18" s="137" customFormat="1" ht="13.5" thickBot="1" x14ac:dyDescent="0.25">
      <c r="A42" s="140"/>
      <c r="B42" s="152"/>
      <c r="C42" s="153"/>
      <c r="D42" s="154"/>
      <c r="E42" s="99"/>
      <c r="F42" s="64"/>
      <c r="G42" s="99"/>
      <c r="I42" s="155"/>
      <c r="J42" s="144"/>
      <c r="K42" s="145"/>
      <c r="L42" s="146"/>
    </row>
    <row r="43" spans="1:18" ht="16.5" thickBot="1" x14ac:dyDescent="0.25">
      <c r="D43" s="108" t="s">
        <v>56</v>
      </c>
      <c r="E43" s="109"/>
      <c r="F43" s="110"/>
      <c r="G43" s="111">
        <f>SUM(G8:G41)</f>
        <v>0</v>
      </c>
    </row>
  </sheetData>
  <sheetProtection algorithmName="SHA-512" hashValue="Ljm9Q8P2zSqScbEwulkl61R5JL5CU2hXyFyDAY/lr6VyWItkxqN41OAxLs1RUgyCx5XlxRr+X3ekvB7p3QqiLg==" saltValue="2+VMfCj5M7lMCWWi/+4aMw==" spinCount="100000" sheet="1" objects="1" scenarios="1"/>
  <dataConsolidate/>
  <mergeCells count="10">
    <mergeCell ref="B22:D22"/>
    <mergeCell ref="B27:D27"/>
    <mergeCell ref="B33:D33"/>
    <mergeCell ref="B37:D37"/>
    <mergeCell ref="Q30:R30"/>
    <mergeCell ref="N27:P27"/>
    <mergeCell ref="B4:G4"/>
    <mergeCell ref="B6:D6"/>
    <mergeCell ref="B14:D14"/>
    <mergeCell ref="B18:D18"/>
  </mergeCells>
  <pageMargins left="0.7" right="0.7" top="0.75" bottom="0.75" header="0.3" footer="0.3"/>
  <pageSetup paperSize="9" scale="82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  <rowBreaks count="1" manualBreakCount="1">
    <brk id="2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92D050"/>
    <pageSetUpPr fitToPage="1"/>
  </sheetPr>
  <dimension ref="A1:L6"/>
  <sheetViews>
    <sheetView view="pageBreakPreview" zoomScaleNormal="115" zoomScaleSheetLayoutView="100" zoomScalePageLayoutView="120" workbookViewId="0">
      <pane ySplit="2" topLeftCell="A3" activePane="bottomLeft" state="frozen"/>
      <selection activeCell="R13" sqref="R13"/>
      <selection pane="bottomLeft" sqref="A1:XFD1048576"/>
    </sheetView>
  </sheetViews>
  <sheetFormatPr defaultColWidth="9.140625" defaultRowHeight="12.75" x14ac:dyDescent="0.2"/>
  <cols>
    <col min="1" max="1" width="2.140625" style="10" customWidth="1"/>
    <col min="2" max="2" width="6.28515625" style="7" customWidth="1"/>
    <col min="3" max="3" width="5.28515625" style="8" customWidth="1"/>
    <col min="4" max="4" width="45.42578125" style="38" customWidth="1"/>
    <col min="5" max="5" width="9.140625" style="27"/>
    <col min="6" max="6" width="9.140625" style="9" customWidth="1"/>
    <col min="7" max="7" width="9.85546875" style="9" customWidth="1"/>
    <col min="8" max="8" width="4" style="5" customWidth="1"/>
    <col min="9" max="9" width="16.85546875" style="25" hidden="1" customWidth="1"/>
    <col min="10" max="10" width="30.42578125" style="16" hidden="1" customWidth="1"/>
    <col min="11" max="11" width="50.28515625" style="34" hidden="1" customWidth="1"/>
    <col min="12" max="12" width="9.140625" style="23" customWidth="1"/>
    <col min="13" max="17" width="9.140625" style="5" customWidth="1"/>
    <col min="18" max="16384" width="9.140625" style="5"/>
  </cols>
  <sheetData>
    <row r="1" spans="1:11" x14ac:dyDescent="0.2">
      <c r="A1" s="6"/>
      <c r="I1" s="25" t="s">
        <v>137</v>
      </c>
      <c r="J1" s="16" t="s">
        <v>133</v>
      </c>
      <c r="K1" s="33" t="s">
        <v>143</v>
      </c>
    </row>
    <row r="2" spans="1:11" ht="24.95" customHeight="1" x14ac:dyDescent="0.2">
      <c r="B2" s="18" t="s">
        <v>24</v>
      </c>
      <c r="C2" s="18" t="s">
        <v>29</v>
      </c>
      <c r="D2" s="18" t="s">
        <v>25</v>
      </c>
      <c r="E2" s="28" t="s">
        <v>26</v>
      </c>
      <c r="F2" s="19" t="s">
        <v>27</v>
      </c>
      <c r="G2" s="19" t="s">
        <v>28</v>
      </c>
      <c r="I2" s="24"/>
    </row>
    <row r="3" spans="1:11" x14ac:dyDescent="0.2">
      <c r="B3" s="20"/>
      <c r="C3" s="20"/>
      <c r="D3" s="21"/>
      <c r="E3" s="29"/>
      <c r="F3" s="22"/>
      <c r="G3" s="22"/>
    </row>
    <row r="4" spans="1:11" ht="15.75" x14ac:dyDescent="0.2">
      <c r="B4" s="40" t="s">
        <v>65</v>
      </c>
      <c r="C4" s="40"/>
      <c r="D4" s="40"/>
      <c r="E4" s="41"/>
      <c r="F4" s="40"/>
      <c r="G4" s="40"/>
    </row>
    <row r="5" spans="1:11" ht="13.5" thickBot="1" x14ac:dyDescent="0.25"/>
    <row r="6" spans="1:11" ht="16.5" thickBot="1" x14ac:dyDescent="0.25">
      <c r="D6" s="17" t="s">
        <v>97</v>
      </c>
      <c r="E6" s="30"/>
      <c r="F6" s="39"/>
      <c r="G6" s="37">
        <v>0</v>
      </c>
    </row>
  </sheetData>
  <sheetProtection algorithmName="SHA-512" hashValue="CxYHpY5radbcZ1YcYlNRppxZ9jcQXK7S7jrxQ5H7vYiZQ/tvlKdnt3nVRPDi4JqeWUCNRXydwi13JZl28LREiA==" saltValue="hiEq2KD3lb1n2JhGtdup1w==" spinCount="100000" sheet="1" objects="1" scenarios="1"/>
  <dataConsolidate/>
  <mergeCells count="1">
    <mergeCell ref="B4:G4"/>
  </mergeCells>
  <pageMargins left="0.7" right="0.7" top="0.75" bottom="0.75" header="0.3" footer="0.3"/>
  <pageSetup paperSize="9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00B050"/>
    <pageSetUpPr fitToPage="1"/>
  </sheetPr>
  <dimension ref="A1:L10"/>
  <sheetViews>
    <sheetView view="pageBreakPreview" zoomScaleNormal="145" zoomScaleSheetLayoutView="100" zoomScalePageLayoutView="120" workbookViewId="0">
      <pane ySplit="2" topLeftCell="A3" activePane="bottomLeft" state="frozen"/>
      <selection activeCell="R13" sqref="R13"/>
      <selection pane="bottomLeft" activeCell="F8" sqref="F8"/>
    </sheetView>
  </sheetViews>
  <sheetFormatPr defaultColWidth="9.140625" defaultRowHeight="12.75" x14ac:dyDescent="0.2"/>
  <cols>
    <col min="1" max="1" width="2.140625" style="161" customWidth="1"/>
    <col min="2" max="2" width="6.28515625" style="129" customWidth="1"/>
    <col min="3" max="3" width="5.28515625" style="147" customWidth="1"/>
    <col min="4" max="4" width="45.42578125" style="112" customWidth="1"/>
    <col min="5" max="5" width="9.140625" style="64"/>
    <col min="6" max="6" width="9.140625" style="64" customWidth="1"/>
    <col min="7" max="7" width="22.28515625" style="64" customWidth="1"/>
    <col min="8" max="8" width="3.5703125" style="135" customWidth="1"/>
    <col min="9" max="9" width="10.85546875" style="168" hidden="1" customWidth="1"/>
    <col min="10" max="10" width="10.85546875" style="165" hidden="1" customWidth="1"/>
    <col min="11" max="11" width="18" style="159" hidden="1" customWidth="1"/>
    <col min="12" max="12" width="10.42578125" style="160" customWidth="1"/>
    <col min="13" max="13" width="9.140625" style="135" customWidth="1"/>
    <col min="14" max="16384" width="9.140625" style="135"/>
  </cols>
  <sheetData>
    <row r="1" spans="1:12" x14ac:dyDescent="0.2">
      <c r="A1" s="156"/>
      <c r="I1" s="157" t="s">
        <v>137</v>
      </c>
      <c r="J1" s="158" t="s">
        <v>133</v>
      </c>
    </row>
    <row r="2" spans="1:12" ht="24.95" customHeight="1" x14ac:dyDescent="0.2">
      <c r="B2" s="162" t="s">
        <v>24</v>
      </c>
      <c r="C2" s="162" t="s">
        <v>29</v>
      </c>
      <c r="D2" s="162" t="s">
        <v>25</v>
      </c>
      <c r="E2" s="163" t="s">
        <v>26</v>
      </c>
      <c r="F2" s="163" t="s">
        <v>27</v>
      </c>
      <c r="G2" s="163" t="s">
        <v>28</v>
      </c>
      <c r="I2" s="164"/>
    </row>
    <row r="3" spans="1:12" ht="11.1" customHeight="1" x14ac:dyDescent="0.2">
      <c r="B3" s="166"/>
      <c r="C3" s="166"/>
      <c r="D3" s="167"/>
      <c r="E3" s="31"/>
      <c r="F3" s="31"/>
      <c r="G3" s="31"/>
    </row>
    <row r="4" spans="1:12" ht="15.75" x14ac:dyDescent="0.2">
      <c r="B4" s="76" t="s">
        <v>154</v>
      </c>
      <c r="C4" s="76"/>
      <c r="D4" s="76"/>
      <c r="E4" s="76"/>
      <c r="F4" s="76"/>
      <c r="G4" s="76"/>
    </row>
    <row r="5" spans="1:12" x14ac:dyDescent="0.2">
      <c r="E5" s="78" t="str">
        <f>IF(SUM(E8:E8)=0,0,"")</f>
        <v/>
      </c>
      <c r="F5" s="78"/>
      <c r="G5" s="78"/>
    </row>
    <row r="6" spans="1:12" ht="21.2" customHeight="1" x14ac:dyDescent="0.3">
      <c r="B6" s="141" t="s">
        <v>66</v>
      </c>
      <c r="C6" s="142"/>
      <c r="D6" s="142"/>
      <c r="E6" s="82" t="str">
        <f>IF(SUM(E8:E8)=0,0,"")</f>
        <v/>
      </c>
      <c r="F6" s="82"/>
      <c r="G6" s="143"/>
    </row>
    <row r="7" spans="1:12" x14ac:dyDescent="0.2">
      <c r="E7" s="78" t="str">
        <f>IF(SUM(E8:E8)=0,0,"")</f>
        <v/>
      </c>
      <c r="F7" s="78"/>
      <c r="G7" s="78"/>
    </row>
    <row r="8" spans="1:12" s="66" customFormat="1" ht="76.5" x14ac:dyDescent="0.2">
      <c r="A8" s="71"/>
      <c r="B8" s="84" t="s">
        <v>68</v>
      </c>
      <c r="C8" s="85" t="s">
        <v>13</v>
      </c>
      <c r="D8" s="86" t="s">
        <v>182</v>
      </c>
      <c r="E8" s="87">
        <f>12</f>
        <v>12</v>
      </c>
      <c r="F8" s="35"/>
      <c r="G8" s="87" t="str">
        <f t="shared" ref="G8" si="0">IF(F8="","",E8*F8)</f>
        <v/>
      </c>
      <c r="I8" s="97">
        <v>850</v>
      </c>
      <c r="J8" s="165"/>
      <c r="K8" s="169"/>
      <c r="L8" s="132"/>
    </row>
    <row r="9" spans="1:12" ht="11.1" customHeight="1" thickBot="1" x14ac:dyDescent="0.25">
      <c r="B9" s="170"/>
      <c r="I9" s="171"/>
    </row>
    <row r="10" spans="1:12" ht="16.5" thickBot="1" x14ac:dyDescent="0.25">
      <c r="D10" s="172" t="s">
        <v>155</v>
      </c>
      <c r="E10" s="109"/>
      <c r="F10" s="110"/>
      <c r="G10" s="173">
        <f>SUM(G8)</f>
        <v>0</v>
      </c>
    </row>
  </sheetData>
  <sheetProtection algorithmName="SHA-512" hashValue="88cwx7oI9fnEkvQ4fF5jwkIlY8cq6xkTjKbbpjb4XFM3llFALYHX6lJDMQuFCXOS/y3xMNg0gvCI3gK96Bwr8w==" saltValue="BJsYlz/DZ9Oax7TfgWaguA==" spinCount="100000" sheet="1" objects="1" scenarios="1"/>
  <dataConsolidate/>
  <mergeCells count="2">
    <mergeCell ref="B6:D6"/>
    <mergeCell ref="B4:G4"/>
  </mergeCells>
  <pageMargins left="0.7" right="0.7" top="0.75" bottom="0.75" header="0.3" footer="0.3"/>
  <pageSetup paperSize="9" scale="87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rgb="FF0070C0"/>
    <pageSetUpPr fitToPage="1"/>
  </sheetPr>
  <dimension ref="A1:K45"/>
  <sheetViews>
    <sheetView view="pageBreakPreview" zoomScaleNormal="100" zoomScaleSheetLayoutView="100" zoomScalePageLayoutView="120" workbookViewId="0">
      <pane ySplit="2" topLeftCell="A3" activePane="bottomLeft" state="frozen"/>
      <selection activeCell="R13" sqref="R13"/>
      <selection pane="bottomLeft" activeCell="G8" sqref="G8"/>
    </sheetView>
  </sheetViews>
  <sheetFormatPr defaultColWidth="9.140625" defaultRowHeight="12.75" x14ac:dyDescent="0.2"/>
  <cols>
    <col min="1" max="1" width="2.140625" style="71" customWidth="1"/>
    <col min="2" max="2" width="6.28515625" style="61" customWidth="1"/>
    <col min="3" max="3" width="5.28515625" style="62" customWidth="1"/>
    <col min="4" max="4" width="45.42578125" style="63" customWidth="1"/>
    <col min="5" max="5" width="9.140625" style="64"/>
    <col min="6" max="6" width="9.140625" style="65" customWidth="1"/>
    <col min="7" max="7" width="23.140625" style="65" customWidth="1"/>
    <col min="8" max="8" width="4" style="66" customWidth="1"/>
    <col min="9" max="9" width="12.85546875" style="177" hidden="1" customWidth="1"/>
    <col min="10" max="10" width="15.42578125" style="176" hidden="1" customWidth="1"/>
    <col min="11" max="11" width="46.85546875" style="66" hidden="1" customWidth="1"/>
    <col min="12" max="12" width="9.140625" style="66" customWidth="1"/>
    <col min="13" max="16384" width="9.140625" style="66"/>
  </cols>
  <sheetData>
    <row r="1" spans="1:11" x14ac:dyDescent="0.2">
      <c r="A1" s="60"/>
      <c r="I1" s="174" t="s">
        <v>137</v>
      </c>
      <c r="J1" s="68" t="s">
        <v>133</v>
      </c>
      <c r="K1" s="73" t="s">
        <v>143</v>
      </c>
    </row>
    <row r="2" spans="1:11" ht="24.95" customHeight="1" x14ac:dyDescent="0.2">
      <c r="B2" s="11" t="s">
        <v>24</v>
      </c>
      <c r="C2" s="11" t="s">
        <v>29</v>
      </c>
      <c r="D2" s="11" t="s">
        <v>25</v>
      </c>
      <c r="E2" s="12" t="s">
        <v>26</v>
      </c>
      <c r="F2" s="12" t="s">
        <v>27</v>
      </c>
      <c r="G2" s="12" t="s">
        <v>28</v>
      </c>
      <c r="I2" s="175"/>
    </row>
    <row r="3" spans="1:11" x14ac:dyDescent="0.2">
      <c r="B3" s="13"/>
      <c r="C3" s="13"/>
      <c r="D3" s="14"/>
      <c r="E3" s="31"/>
      <c r="F3" s="15"/>
      <c r="G3" s="15"/>
    </row>
    <row r="4" spans="1:11" ht="15.75" x14ac:dyDescent="0.2">
      <c r="B4" s="75" t="s">
        <v>69</v>
      </c>
      <c r="C4" s="75"/>
      <c r="D4" s="75"/>
      <c r="E4" s="76"/>
      <c r="F4" s="75"/>
      <c r="G4" s="75"/>
    </row>
    <row r="5" spans="1:11" ht="12.75" customHeight="1" x14ac:dyDescent="0.2">
      <c r="B5" s="77"/>
      <c r="C5" s="77"/>
      <c r="D5" s="77"/>
      <c r="E5" s="178" t="str">
        <f>IF(SUM(E8:E10)=0,0,"")</f>
        <v/>
      </c>
      <c r="F5" s="179"/>
      <c r="G5" s="179"/>
      <c r="I5" s="180"/>
      <c r="J5" s="181"/>
    </row>
    <row r="6" spans="1:11" ht="21.2" customHeight="1" x14ac:dyDescent="0.3">
      <c r="B6" s="80" t="s">
        <v>70</v>
      </c>
      <c r="C6" s="81"/>
      <c r="D6" s="81"/>
      <c r="E6" s="82" t="str">
        <f>IF(SUM(E8:E10)=0,0,"")</f>
        <v/>
      </c>
      <c r="F6" s="136"/>
      <c r="G6" s="83"/>
      <c r="I6" s="180"/>
      <c r="J6" s="181"/>
    </row>
    <row r="7" spans="1:11" x14ac:dyDescent="0.2">
      <c r="E7" s="178" t="str">
        <f>IF(SUM(E8:E10)=0,0,"")</f>
        <v/>
      </c>
      <c r="F7" s="179"/>
      <c r="G7" s="179"/>
      <c r="I7" s="180"/>
      <c r="J7" s="181"/>
    </row>
    <row r="8" spans="1:11" ht="38.25" x14ac:dyDescent="0.2">
      <c r="B8" s="84" t="s">
        <v>71</v>
      </c>
      <c r="C8" s="85" t="s">
        <v>6</v>
      </c>
      <c r="D8" s="86" t="s">
        <v>193</v>
      </c>
      <c r="E8" s="95">
        <f>12*0.1*2+6*0.1*2+(1*0.5*2+0.5*5*2)*5</f>
        <v>33.6</v>
      </c>
      <c r="F8" s="35"/>
      <c r="G8" s="87" t="str">
        <f t="shared" ref="G8:G9" si="0">IF(F8="","",E8*F8)</f>
        <v/>
      </c>
      <c r="I8" s="180">
        <v>9</v>
      </c>
      <c r="J8" s="181"/>
    </row>
    <row r="9" spans="1:11" ht="51" x14ac:dyDescent="0.2">
      <c r="B9" s="84" t="s">
        <v>72</v>
      </c>
      <c r="C9" s="85" t="s">
        <v>6</v>
      </c>
      <c r="D9" s="86" t="s">
        <v>194</v>
      </c>
      <c r="E9" s="95">
        <f>(1.8*0.3*2+1.8*5*2)*5</f>
        <v>95.399999999999991</v>
      </c>
      <c r="F9" s="35"/>
      <c r="G9" s="87" t="str">
        <f t="shared" si="0"/>
        <v/>
      </c>
      <c r="I9" s="180">
        <v>14</v>
      </c>
      <c r="J9" s="181"/>
    </row>
    <row r="10" spans="1:11" ht="51" x14ac:dyDescent="0.2">
      <c r="B10" s="84" t="s">
        <v>190</v>
      </c>
      <c r="C10" s="85" t="s">
        <v>13</v>
      </c>
      <c r="D10" s="86" t="s">
        <v>191</v>
      </c>
      <c r="E10" s="87">
        <f>25*2*2</f>
        <v>100</v>
      </c>
      <c r="F10" s="35"/>
      <c r="G10" s="87" t="str">
        <f t="shared" ref="G10" si="1">IF(F10="","",E10*F10)</f>
        <v/>
      </c>
      <c r="I10" s="180"/>
      <c r="J10" s="66"/>
    </row>
    <row r="11" spans="1:11" x14ac:dyDescent="0.2">
      <c r="E11" s="78" t="str">
        <f>IF(SUM(E14:E15)=0,0,"")</f>
        <v/>
      </c>
      <c r="F11" s="79"/>
      <c r="G11" s="79"/>
      <c r="I11" s="180"/>
      <c r="J11" s="181"/>
    </row>
    <row r="12" spans="1:11" ht="21.2" customHeight="1" x14ac:dyDescent="0.3">
      <c r="B12" s="80" t="s">
        <v>73</v>
      </c>
      <c r="C12" s="81"/>
      <c r="D12" s="81"/>
      <c r="E12" s="82" t="str">
        <f>IF(SUM(E14:E15)=0,0,"")</f>
        <v/>
      </c>
      <c r="F12" s="136"/>
      <c r="G12" s="83"/>
      <c r="I12" s="180"/>
      <c r="J12" s="181"/>
    </row>
    <row r="13" spans="1:11" x14ac:dyDescent="0.2">
      <c r="E13" s="78" t="str">
        <f>IF(SUM(E14:E15)=0,0,"")</f>
        <v/>
      </c>
      <c r="F13" s="79"/>
      <c r="G13" s="79"/>
      <c r="I13" s="180"/>
      <c r="J13" s="181"/>
    </row>
    <row r="14" spans="1:11" ht="51" x14ac:dyDescent="0.2">
      <c r="B14" s="84" t="s">
        <v>74</v>
      </c>
      <c r="C14" s="85" t="s">
        <v>14</v>
      </c>
      <c r="D14" s="86" t="s">
        <v>188</v>
      </c>
      <c r="E14" s="87">
        <f>145.9*5*1.2</f>
        <v>875.4</v>
      </c>
      <c r="F14" s="35"/>
      <c r="G14" s="87" t="str">
        <f t="shared" ref="G14:G15" si="2">IF(F14="","",E14*F14)</f>
        <v/>
      </c>
      <c r="I14" s="180">
        <v>2.5</v>
      </c>
      <c r="J14" s="181"/>
    </row>
    <row r="15" spans="1:11" ht="51" x14ac:dyDescent="0.2">
      <c r="B15" s="84" t="s">
        <v>75</v>
      </c>
      <c r="C15" s="85" t="s">
        <v>14</v>
      </c>
      <c r="D15" s="86" t="s">
        <v>192</v>
      </c>
      <c r="E15" s="87">
        <f>95.5*5*1.2</f>
        <v>573</v>
      </c>
      <c r="F15" s="35"/>
      <c r="G15" s="87" t="str">
        <f t="shared" si="2"/>
        <v/>
      </c>
      <c r="I15" s="180">
        <v>2.5</v>
      </c>
      <c r="J15" s="181"/>
    </row>
    <row r="16" spans="1:11" ht="38.25" x14ac:dyDescent="0.2">
      <c r="B16" s="84" t="s">
        <v>134</v>
      </c>
      <c r="C16" s="85" t="s">
        <v>3</v>
      </c>
      <c r="D16" s="86" t="s">
        <v>186</v>
      </c>
      <c r="E16" s="95">
        <f>4+4</f>
        <v>8</v>
      </c>
      <c r="F16" s="35"/>
      <c r="G16" s="87" t="str">
        <f>IF(F16="","",E16*F16)</f>
        <v/>
      </c>
      <c r="I16" s="180">
        <v>140</v>
      </c>
      <c r="J16" s="181"/>
    </row>
    <row r="17" spans="2:10" ht="38.25" x14ac:dyDescent="0.2">
      <c r="B17" s="84" t="s">
        <v>135</v>
      </c>
      <c r="C17" s="85" t="s">
        <v>3</v>
      </c>
      <c r="D17" s="86" t="s">
        <v>189</v>
      </c>
      <c r="E17" s="87">
        <f>2*5</f>
        <v>10</v>
      </c>
      <c r="F17" s="35"/>
      <c r="G17" s="87" t="str">
        <f>IF(F17="","",E17*F17)</f>
        <v/>
      </c>
      <c r="I17" s="180">
        <v>0</v>
      </c>
      <c r="J17" s="181"/>
    </row>
    <row r="18" spans="2:10" x14ac:dyDescent="0.2">
      <c r="E18" s="78" t="str">
        <f>IF(SUM(E21:E30)=0,0,"")</f>
        <v/>
      </c>
      <c r="F18" s="79"/>
      <c r="G18" s="79"/>
      <c r="I18" s="180"/>
      <c r="J18" s="181"/>
    </row>
    <row r="19" spans="2:10" ht="21.2" customHeight="1" x14ac:dyDescent="0.3">
      <c r="B19" s="80" t="s">
        <v>76</v>
      </c>
      <c r="C19" s="81"/>
      <c r="D19" s="81"/>
      <c r="E19" s="82" t="str">
        <f>IF(SUM(E21:E30)=0,0,"")</f>
        <v/>
      </c>
      <c r="F19" s="136"/>
      <c r="G19" s="83"/>
      <c r="I19" s="180"/>
      <c r="J19" s="181"/>
    </row>
    <row r="20" spans="2:10" x14ac:dyDescent="0.2">
      <c r="E20" s="78" t="str">
        <f>IF(SUM(E21:E30)=0,0,"")</f>
        <v/>
      </c>
      <c r="F20" s="79"/>
      <c r="G20" s="79"/>
      <c r="I20" s="180"/>
      <c r="J20" s="181"/>
    </row>
    <row r="21" spans="2:10" ht="38.25" x14ac:dyDescent="0.2">
      <c r="B21" s="84" t="s">
        <v>77</v>
      </c>
      <c r="C21" s="85" t="s">
        <v>15</v>
      </c>
      <c r="D21" s="86" t="s">
        <v>98</v>
      </c>
      <c r="E21" s="87">
        <f>0.12*25</f>
        <v>3</v>
      </c>
      <c r="F21" s="35"/>
      <c r="G21" s="87" t="str">
        <f t="shared" ref="G21:G24" si="3">IF(F21="","",E21*F21)</f>
        <v/>
      </c>
      <c r="I21" s="180">
        <v>110</v>
      </c>
      <c r="J21" s="181"/>
    </row>
    <row r="22" spans="2:10" ht="38.25" x14ac:dyDescent="0.2">
      <c r="B22" s="84" t="s">
        <v>78</v>
      </c>
      <c r="C22" s="85" t="s">
        <v>15</v>
      </c>
      <c r="D22" s="86" t="s">
        <v>99</v>
      </c>
      <c r="E22" s="87">
        <f>0.4*13</f>
        <v>5.2</v>
      </c>
      <c r="F22" s="35"/>
      <c r="G22" s="87" t="str">
        <f t="shared" si="3"/>
        <v/>
      </c>
      <c r="I22" s="180">
        <v>110</v>
      </c>
      <c r="J22" s="181"/>
    </row>
    <row r="23" spans="2:10" ht="63.75" x14ac:dyDescent="0.2">
      <c r="B23" s="84" t="s">
        <v>79</v>
      </c>
      <c r="C23" s="85" t="s">
        <v>15</v>
      </c>
      <c r="D23" s="86" t="s">
        <v>187</v>
      </c>
      <c r="E23" s="87">
        <f>71.6*0.1+17*0.2</f>
        <v>10.56</v>
      </c>
      <c r="F23" s="35"/>
      <c r="G23" s="87" t="str">
        <f t="shared" si="3"/>
        <v/>
      </c>
      <c r="I23" s="180">
        <v>130</v>
      </c>
      <c r="J23" s="181"/>
    </row>
    <row r="24" spans="2:10" ht="63.75" x14ac:dyDescent="0.2">
      <c r="B24" s="84" t="s">
        <v>80</v>
      </c>
      <c r="C24" s="85" t="s">
        <v>15</v>
      </c>
      <c r="D24" s="86" t="s">
        <v>195</v>
      </c>
      <c r="E24" s="95">
        <f>1.04*25</f>
        <v>26</v>
      </c>
      <c r="F24" s="35"/>
      <c r="G24" s="87" t="str">
        <f t="shared" si="3"/>
        <v/>
      </c>
      <c r="I24" s="180">
        <v>130</v>
      </c>
      <c r="J24" s="181"/>
    </row>
    <row r="25" spans="2:10" ht="38.25" x14ac:dyDescent="0.2">
      <c r="B25" s="84" t="s">
        <v>81</v>
      </c>
      <c r="C25" s="85" t="s">
        <v>15</v>
      </c>
      <c r="D25" s="86" t="s">
        <v>100</v>
      </c>
      <c r="E25" s="87">
        <f>E24+E23</f>
        <v>36.56</v>
      </c>
      <c r="F25" s="35"/>
      <c r="G25" s="87" t="str">
        <f t="shared" ref="G25:G30" si="4">IF(F25="","",E25*F25)</f>
        <v/>
      </c>
      <c r="I25" s="180">
        <v>15</v>
      </c>
      <c r="J25" s="181"/>
    </row>
    <row r="26" spans="2:10" ht="38.25" x14ac:dyDescent="0.2">
      <c r="B26" s="84" t="s">
        <v>82</v>
      </c>
      <c r="C26" s="85" t="s">
        <v>15</v>
      </c>
      <c r="D26" s="86" t="s">
        <v>101</v>
      </c>
      <c r="E26" s="87">
        <f>E24</f>
        <v>26</v>
      </c>
      <c r="F26" s="35"/>
      <c r="G26" s="87" t="str">
        <f t="shared" si="4"/>
        <v/>
      </c>
      <c r="I26" s="180">
        <v>15</v>
      </c>
      <c r="J26" s="181"/>
    </row>
    <row r="27" spans="2:10" ht="38.25" x14ac:dyDescent="0.2">
      <c r="B27" s="84" t="s">
        <v>83</v>
      </c>
      <c r="C27" s="85" t="s">
        <v>15</v>
      </c>
      <c r="D27" s="86" t="s">
        <v>102</v>
      </c>
      <c r="E27" s="87">
        <f>E23</f>
        <v>10.56</v>
      </c>
      <c r="F27" s="35"/>
      <c r="G27" s="87" t="str">
        <f t="shared" si="4"/>
        <v/>
      </c>
      <c r="I27" s="180">
        <v>15</v>
      </c>
      <c r="J27" s="181"/>
    </row>
    <row r="28" spans="2:10" ht="38.25" x14ac:dyDescent="0.2">
      <c r="B28" s="84" t="s">
        <v>84</v>
      </c>
      <c r="C28" s="85" t="s">
        <v>15</v>
      </c>
      <c r="D28" s="86" t="s">
        <v>103</v>
      </c>
      <c r="E28" s="87">
        <f>E23</f>
        <v>10.56</v>
      </c>
      <c r="F28" s="35"/>
      <c r="G28" s="87" t="str">
        <f t="shared" si="4"/>
        <v/>
      </c>
      <c r="I28" s="180">
        <v>15</v>
      </c>
      <c r="J28" s="181"/>
    </row>
    <row r="29" spans="2:10" ht="38.25" x14ac:dyDescent="0.2">
      <c r="B29" s="84" t="s">
        <v>85</v>
      </c>
      <c r="C29" s="85" t="s">
        <v>15</v>
      </c>
      <c r="D29" s="86" t="s">
        <v>104</v>
      </c>
      <c r="E29" s="87">
        <f>E24</f>
        <v>26</v>
      </c>
      <c r="F29" s="35"/>
      <c r="G29" s="87" t="str">
        <f t="shared" si="4"/>
        <v/>
      </c>
      <c r="I29" s="180">
        <v>15</v>
      </c>
      <c r="J29" s="181"/>
    </row>
    <row r="30" spans="2:10" ht="38.25" x14ac:dyDescent="0.2">
      <c r="B30" s="84" t="s">
        <v>86</v>
      </c>
      <c r="C30" s="85" t="s">
        <v>15</v>
      </c>
      <c r="D30" s="86" t="s">
        <v>105</v>
      </c>
      <c r="E30" s="87">
        <f>E24+E23</f>
        <v>36.56</v>
      </c>
      <c r="F30" s="35"/>
      <c r="G30" s="87" t="str">
        <f t="shared" si="4"/>
        <v/>
      </c>
      <c r="I30" s="180">
        <v>15</v>
      </c>
      <c r="J30" s="181"/>
    </row>
    <row r="31" spans="2:10" x14ac:dyDescent="0.2">
      <c r="E31" s="78" t="str">
        <f>IF(SUM(E34:E34)=0,0,"")</f>
        <v/>
      </c>
      <c r="F31" s="79"/>
      <c r="G31" s="79"/>
      <c r="I31" s="180"/>
      <c r="J31" s="181"/>
    </row>
    <row r="32" spans="2:10" ht="21.2" customHeight="1" x14ac:dyDescent="0.3">
      <c r="B32" s="80" t="s">
        <v>88</v>
      </c>
      <c r="C32" s="81"/>
      <c r="D32" s="81"/>
      <c r="E32" s="82" t="str">
        <f>IF(SUM(E34:E34)=0,0,"")</f>
        <v/>
      </c>
      <c r="F32" s="136"/>
      <c r="G32" s="83"/>
      <c r="I32" s="180"/>
      <c r="J32" s="181"/>
    </row>
    <row r="33" spans="2:10" x14ac:dyDescent="0.2">
      <c r="E33" s="78" t="str">
        <f>IF(SUM(E34:E34)=0,0,"")</f>
        <v/>
      </c>
      <c r="F33" s="79"/>
      <c r="G33" s="79"/>
      <c r="I33" s="180"/>
      <c r="J33" s="181"/>
    </row>
    <row r="34" spans="2:10" ht="63.75" x14ac:dyDescent="0.2">
      <c r="B34" s="84" t="s">
        <v>89</v>
      </c>
      <c r="C34" s="85" t="s">
        <v>67</v>
      </c>
      <c r="D34" s="86" t="s">
        <v>175</v>
      </c>
      <c r="E34" s="95">
        <v>44</v>
      </c>
      <c r="F34" s="35"/>
      <c r="G34" s="87" t="str">
        <f t="shared" ref="G34" si="5">IF(F34="","",E34*F34)</f>
        <v/>
      </c>
      <c r="I34" s="180">
        <v>0</v>
      </c>
      <c r="J34" s="181"/>
    </row>
    <row r="35" spans="2:10" x14ac:dyDescent="0.2">
      <c r="E35" s="178"/>
      <c r="F35" s="179"/>
      <c r="G35" s="179"/>
      <c r="I35" s="180"/>
      <c r="J35" s="181"/>
    </row>
    <row r="36" spans="2:10" ht="21.2" customHeight="1" x14ac:dyDescent="0.3">
      <c r="B36" s="80" t="s">
        <v>87</v>
      </c>
      <c r="C36" s="81"/>
      <c r="D36" s="81"/>
      <c r="E36" s="82"/>
      <c r="F36" s="136"/>
      <c r="G36" s="83"/>
      <c r="I36" s="180"/>
      <c r="J36" s="181"/>
    </row>
    <row r="37" spans="2:10" x14ac:dyDescent="0.2">
      <c r="E37" s="78" t="str">
        <f>IF(SUM(E40:E43)=0,0,"")</f>
        <v/>
      </c>
      <c r="F37" s="79"/>
      <c r="G37" s="79"/>
      <c r="I37" s="180"/>
      <c r="J37" s="181"/>
    </row>
    <row r="38" spans="2:10" ht="20.25" customHeight="1" x14ac:dyDescent="0.25">
      <c r="B38" s="100" t="s">
        <v>91</v>
      </c>
      <c r="C38" s="100"/>
      <c r="D38" s="100"/>
      <c r="E38" s="104" t="str">
        <f>IF(SUM(E40:E43)=0,0,"")</f>
        <v/>
      </c>
      <c r="F38" s="105"/>
      <c r="G38" s="105"/>
      <c r="I38" s="180"/>
      <c r="J38" s="181"/>
    </row>
    <row r="39" spans="2:10" x14ac:dyDescent="0.2">
      <c r="E39" s="78" t="str">
        <f>IF(SUM(E40:E43)=0,0,"")</f>
        <v/>
      </c>
      <c r="F39" s="79"/>
      <c r="G39" s="79"/>
      <c r="I39" s="180"/>
      <c r="J39" s="181"/>
    </row>
    <row r="40" spans="2:10" ht="25.5" x14ac:dyDescent="0.2">
      <c r="B40" s="84" t="s">
        <v>92</v>
      </c>
      <c r="C40" s="85" t="s">
        <v>90</v>
      </c>
      <c r="D40" s="86" t="s">
        <v>106</v>
      </c>
      <c r="E40" s="87">
        <v>71.599999999999994</v>
      </c>
      <c r="F40" s="35"/>
      <c r="G40" s="87" t="str">
        <f t="shared" ref="G40:G42" si="6">IF(F40="","",E40*F40)</f>
        <v/>
      </c>
      <c r="I40" s="180">
        <v>0</v>
      </c>
      <c r="J40" s="181"/>
    </row>
    <row r="41" spans="2:10" ht="38.25" x14ac:dyDescent="0.2">
      <c r="B41" s="84" t="s">
        <v>93</v>
      </c>
      <c r="C41" s="85" t="s">
        <v>90</v>
      </c>
      <c r="D41" s="86" t="s">
        <v>107</v>
      </c>
      <c r="E41" s="87">
        <v>71.599999999999994</v>
      </c>
      <c r="F41" s="35"/>
      <c r="G41" s="87" t="str">
        <f t="shared" si="6"/>
        <v/>
      </c>
      <c r="I41" s="180">
        <v>0</v>
      </c>
      <c r="J41" s="181"/>
    </row>
    <row r="42" spans="2:10" ht="51" x14ac:dyDescent="0.2">
      <c r="B42" s="84" t="s">
        <v>94</v>
      </c>
      <c r="C42" s="85" t="s">
        <v>90</v>
      </c>
      <c r="D42" s="86" t="s">
        <v>108</v>
      </c>
      <c r="E42" s="87">
        <v>71.599999999999994</v>
      </c>
      <c r="F42" s="35"/>
      <c r="G42" s="87" t="str">
        <f t="shared" si="6"/>
        <v/>
      </c>
      <c r="I42" s="180">
        <v>3</v>
      </c>
      <c r="J42" s="181"/>
    </row>
    <row r="43" spans="2:10" ht="51" x14ac:dyDescent="0.2">
      <c r="B43" s="84" t="s">
        <v>95</v>
      </c>
      <c r="C43" s="85" t="s">
        <v>90</v>
      </c>
      <c r="D43" s="86" t="s">
        <v>109</v>
      </c>
      <c r="E43" s="87">
        <v>71.599999999999994</v>
      </c>
      <c r="F43" s="35"/>
      <c r="G43" s="87" t="str">
        <f t="shared" ref="G43" si="7">IF(F43="","",E43*F43)</f>
        <v/>
      </c>
      <c r="I43" s="180">
        <v>0</v>
      </c>
      <c r="J43" s="181"/>
    </row>
    <row r="44" spans="2:10" ht="13.5" thickBot="1" x14ac:dyDescent="0.25"/>
    <row r="45" spans="2:10" ht="16.5" thickBot="1" x14ac:dyDescent="0.25">
      <c r="D45" s="108" t="s">
        <v>96</v>
      </c>
      <c r="E45" s="109"/>
      <c r="F45" s="182"/>
      <c r="G45" s="111">
        <f>SUM(G8:G43)</f>
        <v>0</v>
      </c>
    </row>
  </sheetData>
  <sheetProtection algorithmName="SHA-512" hashValue="Fqw4WeKdT425K9slD/fbK5nGPtfIcW8A1GcEA5u0HC9wON7foNPPVBgmmFfLLJs0XgyV29XQcRXMLL0DSAJp5Q==" saltValue="L+dIeFrdRqqWFfCN7qR3SA==" spinCount="100000" sheet="1" objects="1" scenarios="1"/>
  <dataConsolidate/>
  <mergeCells count="7">
    <mergeCell ref="B32:D32"/>
    <mergeCell ref="B38:D38"/>
    <mergeCell ref="B4:G4"/>
    <mergeCell ref="B12:D12"/>
    <mergeCell ref="B6:D6"/>
    <mergeCell ref="B19:D19"/>
    <mergeCell ref="B36:D36"/>
  </mergeCells>
  <pageMargins left="0.7" right="0.7" top="0.75" bottom="0.75" header="0.3" footer="0.3"/>
  <pageSetup paperSize="9" scale="86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rgb="FF002060"/>
    <pageSetUpPr fitToPage="1"/>
  </sheetPr>
  <dimension ref="A1:L6"/>
  <sheetViews>
    <sheetView view="pageBreakPreview" zoomScaleNormal="145" zoomScaleSheetLayoutView="100" zoomScalePageLayoutView="120" workbookViewId="0">
      <pane ySplit="2" topLeftCell="A3" activePane="bottomLeft" state="frozen"/>
      <selection activeCell="R13" sqref="R13"/>
      <selection pane="bottomLeft" activeCell="F15" sqref="F15"/>
    </sheetView>
  </sheetViews>
  <sheetFormatPr defaultColWidth="9.140625" defaultRowHeight="12.75" x14ac:dyDescent="0.2"/>
  <cols>
    <col min="1" max="1" width="2.140625" style="10" customWidth="1"/>
    <col min="2" max="2" width="6.28515625" style="7" customWidth="1"/>
    <col min="3" max="3" width="5.28515625" style="8" customWidth="1"/>
    <col min="4" max="4" width="45.42578125" style="38" customWidth="1"/>
    <col min="5" max="5" width="9.140625" style="27"/>
    <col min="6" max="6" width="9.140625" style="9" customWidth="1"/>
    <col min="7" max="7" width="9.7109375" style="9" customWidth="1"/>
    <col min="8" max="8" width="4" style="5" customWidth="1"/>
    <col min="9" max="9" width="16.85546875" style="3" hidden="1" customWidth="1"/>
    <col min="10" max="10" width="17.140625" style="2" hidden="1" customWidth="1"/>
    <col min="11" max="11" width="40.85546875" style="34" hidden="1" customWidth="1"/>
    <col min="12" max="12" width="9.140625" style="23" customWidth="1"/>
    <col min="13" max="15" width="9.140625" style="5" customWidth="1"/>
    <col min="16" max="16384" width="9.140625" style="5"/>
  </cols>
  <sheetData>
    <row r="1" spans="1:11" x14ac:dyDescent="0.2">
      <c r="A1" s="6"/>
      <c r="I1" s="26" t="s">
        <v>137</v>
      </c>
      <c r="J1" s="1" t="s">
        <v>133</v>
      </c>
      <c r="K1" s="33" t="s">
        <v>143</v>
      </c>
    </row>
    <row r="2" spans="1:11" ht="24.95" customHeight="1" x14ac:dyDescent="0.2">
      <c r="B2" s="18" t="s">
        <v>24</v>
      </c>
      <c r="C2" s="18" t="s">
        <v>29</v>
      </c>
      <c r="D2" s="18" t="s">
        <v>25</v>
      </c>
      <c r="E2" s="19" t="s">
        <v>26</v>
      </c>
      <c r="F2" s="19" t="s">
        <v>27</v>
      </c>
      <c r="G2" s="19" t="s">
        <v>28</v>
      </c>
      <c r="I2" s="4"/>
    </row>
    <row r="3" spans="1:11" x14ac:dyDescent="0.2">
      <c r="B3" s="20"/>
      <c r="C3" s="20"/>
      <c r="D3" s="21"/>
      <c r="E3" s="29"/>
      <c r="F3" s="22"/>
      <c r="G3" s="22"/>
    </row>
    <row r="4" spans="1:11" ht="15.75" x14ac:dyDescent="0.2">
      <c r="B4" s="40" t="s">
        <v>111</v>
      </c>
      <c r="C4" s="40"/>
      <c r="D4" s="40"/>
      <c r="E4" s="41"/>
      <c r="F4" s="40"/>
      <c r="G4" s="40"/>
    </row>
    <row r="5" spans="1:11" ht="13.5" thickBot="1" x14ac:dyDescent="0.25">
      <c r="I5" s="32"/>
    </row>
    <row r="6" spans="1:11" ht="16.5" thickBot="1" x14ac:dyDescent="0.25">
      <c r="D6" s="17" t="s">
        <v>110</v>
      </c>
      <c r="E6" s="30"/>
      <c r="F6" s="39"/>
      <c r="G6" s="37">
        <v>0</v>
      </c>
    </row>
  </sheetData>
  <sheetProtection algorithmName="SHA-512" hashValue="CoVPSZKNojgAHHcSeK1HgbqZxCnoFp/GLsgkvQ32x3oEwdni225c7mF4ig81FpYnzUQIZxDSqy5DgUbolgHEpg==" saltValue="uqePcqudL1BY28ZIjAHMhQ==" spinCount="100000" sheet="1" objects="1" scenarios="1"/>
  <dataConsolidate/>
  <mergeCells count="1">
    <mergeCell ref="B4:G4"/>
  </mergeCells>
  <pageMargins left="0.7" right="0.7" top="0.75" bottom="0.75" header="0.3" footer="0.3"/>
  <pageSetup paperSize="9" fitToHeight="0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fitToPage="1"/>
  </sheetPr>
  <dimension ref="A1:K17"/>
  <sheetViews>
    <sheetView view="pageBreakPreview" zoomScaleNormal="100" zoomScaleSheetLayoutView="100" zoomScalePageLayoutView="120" workbookViewId="0">
      <pane ySplit="2" topLeftCell="A3" activePane="bottomLeft" state="frozen"/>
      <selection activeCell="R13" sqref="R13"/>
      <selection pane="bottomLeft" activeCell="L12" sqref="L12"/>
    </sheetView>
  </sheetViews>
  <sheetFormatPr defaultColWidth="9.140625" defaultRowHeight="12.75" x14ac:dyDescent="0.2"/>
  <cols>
    <col min="1" max="1" width="2.140625" style="71" customWidth="1"/>
    <col min="2" max="2" width="6.28515625" style="61" customWidth="1"/>
    <col min="3" max="3" width="5.5703125" style="62" customWidth="1"/>
    <col min="4" max="4" width="43.85546875" style="63" customWidth="1"/>
    <col min="5" max="5" width="9.140625" style="65"/>
    <col min="6" max="6" width="10.28515625" style="65" customWidth="1"/>
    <col min="7" max="7" width="20" style="65" customWidth="1"/>
    <col min="8" max="8" width="4" style="66" customWidth="1"/>
    <col min="9" max="9" width="8.28515625" style="184" hidden="1" customWidth="1"/>
    <col min="10" max="10" width="9.140625" style="73" hidden="1" customWidth="1"/>
    <col min="11" max="11" width="40.140625" style="66" hidden="1" customWidth="1"/>
    <col min="12" max="16" width="9.140625" style="66" customWidth="1"/>
    <col min="17" max="16384" width="9.140625" style="66"/>
  </cols>
  <sheetData>
    <row r="1" spans="1:10" x14ac:dyDescent="0.2">
      <c r="A1" s="60"/>
      <c r="I1" s="106" t="s">
        <v>137</v>
      </c>
      <c r="J1" s="68" t="s">
        <v>136</v>
      </c>
    </row>
    <row r="2" spans="1:10" ht="24.95" customHeight="1" x14ac:dyDescent="0.2">
      <c r="B2" s="11" t="s">
        <v>24</v>
      </c>
      <c r="C2" s="11" t="s">
        <v>29</v>
      </c>
      <c r="D2" s="11" t="s">
        <v>25</v>
      </c>
      <c r="E2" s="12" t="s">
        <v>26</v>
      </c>
      <c r="F2" s="12" t="s">
        <v>27</v>
      </c>
      <c r="G2" s="12" t="s">
        <v>28</v>
      </c>
      <c r="I2" s="183"/>
    </row>
    <row r="3" spans="1:10" x14ac:dyDescent="0.2">
      <c r="B3" s="13"/>
      <c r="C3" s="13"/>
      <c r="D3" s="14"/>
      <c r="E3" s="15"/>
      <c r="F3" s="15"/>
      <c r="G3" s="15"/>
    </row>
    <row r="4" spans="1:10" ht="15.75" x14ac:dyDescent="0.2">
      <c r="B4" s="75" t="s">
        <v>113</v>
      </c>
      <c r="C4" s="75"/>
      <c r="D4" s="75"/>
      <c r="E4" s="75"/>
      <c r="F4" s="75"/>
      <c r="G4" s="75"/>
    </row>
    <row r="5" spans="1:10" ht="12" customHeight="1" x14ac:dyDescent="0.2">
      <c r="B5" s="77"/>
      <c r="C5" s="77"/>
      <c r="D5" s="77"/>
      <c r="E5" s="77"/>
      <c r="F5" s="77"/>
      <c r="G5" s="77"/>
    </row>
    <row r="6" spans="1:10" ht="21.2" customHeight="1" x14ac:dyDescent="0.3">
      <c r="B6" s="141" t="s">
        <v>114</v>
      </c>
      <c r="C6" s="142"/>
      <c r="D6" s="142"/>
      <c r="E6" s="82" t="str">
        <f>IF(SUM(E8:E8)=0,0,"")</f>
        <v/>
      </c>
      <c r="F6" s="82"/>
      <c r="G6" s="143"/>
    </row>
    <row r="7" spans="1:10" x14ac:dyDescent="0.2">
      <c r="B7" s="129"/>
      <c r="C7" s="147"/>
      <c r="D7" s="112"/>
      <c r="E7" s="178" t="str">
        <f>IF(SUM(E8:E8)=0,0,"")</f>
        <v/>
      </c>
      <c r="F7" s="178"/>
      <c r="G7" s="178"/>
    </row>
    <row r="8" spans="1:10" ht="38.25" x14ac:dyDescent="0.2">
      <c r="B8" s="122" t="s">
        <v>115</v>
      </c>
      <c r="C8" s="123" t="s">
        <v>128</v>
      </c>
      <c r="D8" s="119" t="s">
        <v>142</v>
      </c>
      <c r="E8" s="95">
        <v>12</v>
      </c>
      <c r="F8" s="36"/>
      <c r="G8" s="95" t="str">
        <f>IF(F8="","",E8*F8)</f>
        <v/>
      </c>
      <c r="I8" s="184">
        <v>0</v>
      </c>
    </row>
    <row r="9" spans="1:10" ht="8.25" customHeight="1" x14ac:dyDescent="0.2">
      <c r="E9" s="179" t="str">
        <f>IF(SUM(E12:E15)=0,0,"")</f>
        <v/>
      </c>
      <c r="F9" s="179"/>
      <c r="G9" s="179"/>
    </row>
    <row r="10" spans="1:10" ht="21.2" customHeight="1" x14ac:dyDescent="0.3">
      <c r="B10" s="80" t="s">
        <v>116</v>
      </c>
      <c r="C10" s="81"/>
      <c r="D10" s="81"/>
      <c r="E10" s="136" t="str">
        <f>IF(SUM(E12:E15)=0,0,"")</f>
        <v/>
      </c>
      <c r="F10" s="136"/>
      <c r="G10" s="83"/>
    </row>
    <row r="11" spans="1:10" ht="9" customHeight="1" x14ac:dyDescent="0.2">
      <c r="E11" s="179" t="str">
        <f>IF(SUM(E12:E15)=0,0,"")</f>
        <v/>
      </c>
      <c r="F11" s="179"/>
      <c r="G11" s="179"/>
    </row>
    <row r="12" spans="1:10" ht="25.5" x14ac:dyDescent="0.2">
      <c r="B12" s="84" t="s">
        <v>117</v>
      </c>
      <c r="C12" s="85" t="s">
        <v>118</v>
      </c>
      <c r="D12" s="86" t="s">
        <v>140</v>
      </c>
      <c r="E12" s="87">
        <v>40</v>
      </c>
      <c r="F12" s="35"/>
      <c r="G12" s="87" t="str">
        <f t="shared" ref="G12:G15" si="0">IF(F12="","",E12*F12)</f>
        <v/>
      </c>
      <c r="I12" s="184">
        <v>60</v>
      </c>
    </row>
    <row r="13" spans="1:10" ht="25.5" x14ac:dyDescent="0.2">
      <c r="B13" s="84" t="s">
        <v>119</v>
      </c>
      <c r="C13" s="85" t="s">
        <v>118</v>
      </c>
      <c r="D13" s="86" t="s">
        <v>141</v>
      </c>
      <c r="E13" s="87">
        <v>10</v>
      </c>
      <c r="F13" s="35"/>
      <c r="G13" s="87" t="str">
        <f t="shared" si="0"/>
        <v/>
      </c>
      <c r="I13" s="184">
        <v>60</v>
      </c>
    </row>
    <row r="14" spans="1:10" ht="38.25" x14ac:dyDescent="0.2">
      <c r="B14" s="122" t="s">
        <v>120</v>
      </c>
      <c r="C14" s="123" t="s">
        <v>3</v>
      </c>
      <c r="D14" s="119" t="s">
        <v>163</v>
      </c>
      <c r="E14" s="95">
        <v>1</v>
      </c>
      <c r="F14" s="36"/>
      <c r="G14" s="95" t="str">
        <f t="shared" si="0"/>
        <v/>
      </c>
      <c r="I14" s="184">
        <v>5000</v>
      </c>
    </row>
    <row r="15" spans="1:10" ht="25.5" x14ac:dyDescent="0.2">
      <c r="B15" s="84" t="s">
        <v>164</v>
      </c>
      <c r="C15" s="85" t="s">
        <v>3</v>
      </c>
      <c r="D15" s="86" t="s">
        <v>165</v>
      </c>
      <c r="E15" s="95">
        <v>1</v>
      </c>
      <c r="F15" s="35"/>
      <c r="G15" s="95" t="str">
        <f t="shared" si="0"/>
        <v/>
      </c>
      <c r="I15" s="66"/>
      <c r="J15" s="66"/>
    </row>
    <row r="16" spans="1:10" ht="7.5" customHeight="1" thickBot="1" x14ac:dyDescent="0.25"/>
    <row r="17" spans="4:7" ht="16.5" thickBot="1" x14ac:dyDescent="0.25">
      <c r="D17" s="108" t="s">
        <v>112</v>
      </c>
      <c r="E17" s="185"/>
      <c r="F17" s="182"/>
      <c r="G17" s="111">
        <f>SUM(G8:G15)</f>
        <v>0</v>
      </c>
    </row>
  </sheetData>
  <sheetProtection algorithmName="SHA-512" hashValue="1KOhVRX6d4j8dk224coDOOuiE9fM97x0+B8EymUsONafWxz94Y3wbI3zwSaozzAEbeO9jCAwFS3cowM5zfiHkA==" saltValue="Eirnh6cpyPFE+LaSKPkBQQ==" spinCount="100000" sheet="1" objects="1" scenarios="1"/>
  <dataConsolidate/>
  <mergeCells count="3">
    <mergeCell ref="B10:D10"/>
    <mergeCell ref="B4:G4"/>
    <mergeCell ref="B6:D6"/>
  </mergeCells>
  <pageMargins left="0.7" right="0.7" top="0.75" bottom="0.75" header="0.3" footer="0.3"/>
  <pageSetup paperSize="9" scale="89" fitToHeight="0" orientation="portrait" r:id="rId1"/>
  <headerFooter>
    <oddHeader>&amp;L&amp;"Braggadocio,Regular"&amp;18KP&amp;11rojekt&amp;18L&amp;"-,Regular"&amp;11   d.o.o.                                                                                                                  
Tbilisijska 61, 1000 Ljubljana&amp;C&amp;10&amp;A</oddHeader>
    <oddFooter>&amp;C&amp;10Stran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43</vt:i4>
      </vt:variant>
    </vt:vector>
  </HeadingPairs>
  <TitlesOfParts>
    <vt:vector size="51" baseType="lpstr">
      <vt:lpstr>REKAPITULACIJA</vt:lpstr>
      <vt:lpstr>1. PREDDELA</vt:lpstr>
      <vt:lpstr>2. ZEMELJSKA DELA</vt:lpstr>
      <vt:lpstr>3. VOZIŠČNE KONSTRUKCIJE</vt:lpstr>
      <vt:lpstr>4. ODVODNJAVANJE</vt:lpstr>
      <vt:lpstr>5. GRADBENA IN OBRTNIŠKA DELA</vt:lpstr>
      <vt:lpstr>6. OPREMA CEST</vt:lpstr>
      <vt:lpstr>7. TUJE STORITVE</vt:lpstr>
      <vt:lpstr>_1.1_Geodetska_dela</vt:lpstr>
      <vt:lpstr>_1.2_Čiščenje_terena</vt:lpstr>
      <vt:lpstr>_1.3_Ostala_preddela</vt:lpstr>
      <vt:lpstr>'1. PREDDELA'!_1_preddela_1</vt:lpstr>
      <vt:lpstr>'2. ZEMELJSKA DELA'!_1_preddela_1</vt:lpstr>
      <vt:lpstr>'3. VOZIŠČNE KONSTRUKCIJE'!_1_preddela_1</vt:lpstr>
      <vt:lpstr>'4. ODVODNJAVANJE'!_1_preddela_1</vt:lpstr>
      <vt:lpstr>'5. GRADBENA IN OBRTNIŠKA DELA'!_1_preddela_1</vt:lpstr>
      <vt:lpstr>'6. OPREMA CEST'!_1_preddela_1</vt:lpstr>
      <vt:lpstr>'7. TUJE STORITVE'!_1_preddela_1</vt:lpstr>
      <vt:lpstr>'4. ODVODNJAVANJE'!_1_preddela_2</vt:lpstr>
      <vt:lpstr>_2.1_Izkopi</vt:lpstr>
      <vt:lpstr>_2.2_Planum_tal</vt:lpstr>
      <vt:lpstr>_2.3_ločilne_drenažne_filterske_plasti</vt:lpstr>
      <vt:lpstr>_2.4_Nasipi_zasipi_posteljica</vt:lpstr>
      <vt:lpstr>_2.5_Brežine_zelenice</vt:lpstr>
      <vt:lpstr>_2.8_Zagatne_stene</vt:lpstr>
      <vt:lpstr>_2.9_prevozi_razprostiranje_materiala</vt:lpstr>
      <vt:lpstr>_5.1_Tesarska_dela</vt:lpstr>
      <vt:lpstr>_5.2_Dela_z_jeklom</vt:lpstr>
      <vt:lpstr>_5.3_Dela_z_cementnim_betonom</vt:lpstr>
      <vt:lpstr>_5.8_Ključavničarska_dela</vt:lpstr>
      <vt:lpstr>_5.9_Zaščitna_dela</vt:lpstr>
      <vt:lpstr>_7.6_vodovod</vt:lpstr>
      <vt:lpstr>_7.9_Preizkusi_nadzor_dokumentacija</vt:lpstr>
      <vt:lpstr>Čiščenje_terena_1.2</vt:lpstr>
      <vt:lpstr>Geodetska_dela_1.1</vt:lpstr>
      <vt:lpstr>Ostala_preddela_1.3</vt:lpstr>
      <vt:lpstr>'1. PREDDELA'!Print_Area</vt:lpstr>
      <vt:lpstr>'2. ZEMELJSKA DELA'!Print_Area</vt:lpstr>
      <vt:lpstr>'3. VOZIŠČNE KONSTRUKCIJE'!Print_Area</vt:lpstr>
      <vt:lpstr>'4. ODVODNJAVANJE'!Print_Area</vt:lpstr>
      <vt:lpstr>'5. GRADBENA IN OBRTNIŠKA DELA'!Print_Area</vt:lpstr>
      <vt:lpstr>'6. OPREMA CEST'!Print_Area</vt:lpstr>
      <vt:lpstr>'7. TUJE STORITVE'!Print_Area</vt:lpstr>
      <vt:lpstr>REKAPITULACIJA!Print_Area</vt:lpstr>
      <vt:lpstr>'1. PREDDELA'!Print_Titles</vt:lpstr>
      <vt:lpstr>'2. ZEMELJSKA DELA'!Print_Titles</vt:lpstr>
      <vt:lpstr>'3. VOZIŠČNE KONSTRUKCIJE'!Print_Titles</vt:lpstr>
      <vt:lpstr>'4. ODVODNJAVANJE'!Print_Titles</vt:lpstr>
      <vt:lpstr>'5. GRADBENA IN OBRTNIŠKA DELA'!Print_Titles</vt:lpstr>
      <vt:lpstr>'6. OPREMA CEST'!Print_Titles</vt:lpstr>
      <vt:lpstr>'7. TUJE STORITVE'!Print_Titles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Simon Prebil</cp:lastModifiedBy>
  <cp:lastPrinted>2021-04-22T12:00:12Z</cp:lastPrinted>
  <dcterms:created xsi:type="dcterms:W3CDTF">2010-07-30T11:24:43Z</dcterms:created>
  <dcterms:modified xsi:type="dcterms:W3CDTF">2026-07-27T14:01:02Z</dcterms:modified>
</cp:coreProperties>
</file>