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DarkoI\Desktop\"/>
    </mc:Choice>
  </mc:AlternateContent>
  <xr:revisionPtr revIDLastSave="0" documentId="8_{4AC1E661-25E6-4502-867D-BD78CF89DBD1}" xr6:coauthVersionLast="47" xr6:coauthVersionMax="47" xr10:uidLastSave="{00000000-0000-0000-0000-000000000000}"/>
  <bookViews>
    <workbookView xWindow="28680" yWindow="-120" windowWidth="29040" windowHeight="15840" tabRatio="870" firstSheet="6" activeTab="13" xr2:uid="{00000000-000D-0000-FFFF-FFFF00000000}"/>
  </bookViews>
  <sheets>
    <sheet name="PODLAGE" sheetId="28" r:id="rId1"/>
    <sheet name="določitev PE po naseljih" sheetId="15" r:id="rId2"/>
    <sheet name=" Varianta 1 A1, A2" sheetId="6" r:id="rId3"/>
    <sheet name="Varianta 2 – B ali D" sheetId="41" r:id="rId4"/>
    <sheet name="Varianta 2 (delitev D1 - D3) " sheetId="52" r:id="rId5"/>
    <sheet name="Varianta 3 – C ali D3" sheetId="44" r:id="rId6"/>
    <sheet name="Varianta 4 – D1" sheetId="16" r:id="rId7"/>
    <sheet name="Varianta 5 – D2" sheetId="42" r:id="rId8"/>
    <sheet name="Varianta 6 – D3" sheetId="43" r:id="rId9"/>
    <sheet name="Varianta 7 – E" sheetId="46" r:id="rId10"/>
    <sheet name="Varianta 8 – F" sheetId="47" r:id="rId11"/>
    <sheet name="Varianta 9 - X" sheetId="49" r:id="rId12"/>
    <sheet name="Izbrana rešitev (27.06.2023)" sheetId="48" r:id="rId13"/>
    <sheet name="Skupni rezultati" sheetId="53" r:id="rId14"/>
  </sheets>
  <definedNames>
    <definedName name="_xlnm._FilterDatabase" localSheetId="12" hidden="1">'Izbrana rešitev (27.06.2023)'!$B$2:$M$70</definedName>
    <definedName name="_xlnm._FilterDatabase" localSheetId="3" hidden="1">'Varianta 2 – B ali D'!$A$2:$X$165</definedName>
    <definedName name="_xlnm._FilterDatabase" localSheetId="6" hidden="1">'Varianta 4 – D1'!#REF!</definedName>
    <definedName name="_xlnm._FilterDatabase" localSheetId="7" hidden="1">'Varianta 5 – D2'!#REF!</definedName>
    <definedName name="_xlnm._FilterDatabase" localSheetId="8" hidden="1">'Varianta 6 – D3'!#REF!</definedName>
  </definedNames>
  <calcPr calcId="191029" calcOnSave="0"/>
</workbook>
</file>

<file path=xl/calcChain.xml><?xml version="1.0" encoding="utf-8"?>
<calcChain xmlns="http://schemas.openxmlformats.org/spreadsheetml/2006/main">
  <c r="F62" i="48" l="1"/>
  <c r="E62" i="48"/>
  <c r="E61" i="48"/>
  <c r="F37" i="48"/>
  <c r="F36" i="48"/>
  <c r="E36" i="48"/>
  <c r="F35" i="48"/>
  <c r="E35" i="48"/>
  <c r="F34" i="48"/>
  <c r="E34" i="48"/>
  <c r="F33" i="48"/>
  <c r="F61" i="48" s="1"/>
  <c r="E33" i="48"/>
  <c r="E27" i="43"/>
  <c r="D27" i="43"/>
  <c r="E37" i="48" s="1"/>
  <c r="F12" i="43"/>
  <c r="G12" i="43" s="1"/>
  <c r="H12" i="43" s="1"/>
  <c r="F8" i="42"/>
  <c r="G8" i="42" s="1"/>
  <c r="H8" i="42" s="1"/>
  <c r="F7" i="42"/>
  <c r="G7" i="42" s="1"/>
  <c r="H7" i="42" s="1"/>
  <c r="G36" i="48" l="1"/>
  <c r="K13" i="6"/>
  <c r="L13" i="6" s="1"/>
  <c r="J16" i="6"/>
  <c r="F16" i="6"/>
  <c r="E16" i="6"/>
  <c r="F15" i="6"/>
  <c r="E15" i="6"/>
  <c r="I6" i="46"/>
  <c r="I7" i="46"/>
  <c r="I8" i="46"/>
  <c r="I9" i="46"/>
  <c r="I10" i="46"/>
  <c r="I11" i="46"/>
  <c r="I12" i="46"/>
  <c r="I13" i="46"/>
  <c r="I5" i="46"/>
  <c r="G39" i="44" l="1"/>
  <c r="Q39" i="44" s="1"/>
  <c r="G37" i="44"/>
  <c r="Q37" i="44" s="1"/>
  <c r="G38" i="44"/>
  <c r="Q38" i="44" s="1"/>
  <c r="G36" i="44"/>
  <c r="Q36" i="44" s="1"/>
  <c r="F40" i="44"/>
  <c r="E40" i="44"/>
  <c r="F33" i="44"/>
  <c r="E33" i="44"/>
  <c r="H19" i="48"/>
  <c r="H57" i="48"/>
  <c r="H53" i="48"/>
  <c r="H50" i="48"/>
  <c r="H42" i="48"/>
  <c r="H32" i="48"/>
  <c r="H29" i="48"/>
  <c r="H25" i="48"/>
  <c r="H4" i="48"/>
  <c r="J14" i="28"/>
  <c r="I13" i="28"/>
  <c r="Q31" i="44" l="1"/>
  <c r="Q32" i="44"/>
  <c r="Q40" i="44"/>
  <c r="E27" i="53" l="1"/>
  <c r="E28" i="53"/>
  <c r="D28" i="53"/>
  <c r="D27" i="53"/>
  <c r="I49" i="48" l="1"/>
  <c r="H49" i="48"/>
  <c r="I31" i="48"/>
  <c r="H31" i="48"/>
  <c r="I21" i="48"/>
  <c r="H21" i="48"/>
  <c r="I16" i="48"/>
  <c r="H16" i="48"/>
  <c r="I13" i="48"/>
  <c r="H13" i="48"/>
  <c r="I9" i="48"/>
  <c r="H9" i="48"/>
  <c r="G49" i="48"/>
  <c r="G31" i="48"/>
  <c r="G21" i="48"/>
  <c r="G16" i="48"/>
  <c r="G13" i="48"/>
  <c r="G9" i="48"/>
  <c r="I23" i="48"/>
  <c r="H23" i="48"/>
  <c r="I15" i="48"/>
  <c r="H15" i="48"/>
  <c r="G23" i="48"/>
  <c r="G15" i="48"/>
  <c r="I54" i="48"/>
  <c r="H54" i="48"/>
  <c r="I48" i="48"/>
  <c r="H48" i="48"/>
  <c r="G54" i="48"/>
  <c r="G48" i="48"/>
  <c r="H20" i="48"/>
  <c r="I20" i="48"/>
  <c r="G20" i="48"/>
  <c r="H17" i="48"/>
  <c r="I17" i="48"/>
  <c r="G17" i="48"/>
  <c r="I14" i="48"/>
  <c r="H14" i="48"/>
  <c r="G14" i="48"/>
  <c r="F67" i="48"/>
  <c r="D25" i="53" s="1"/>
  <c r="E67" i="48"/>
  <c r="E25" i="53" s="1"/>
  <c r="F66" i="48"/>
  <c r="D24" i="53" s="1"/>
  <c r="E66" i="48"/>
  <c r="E24" i="53" s="1"/>
  <c r="F65" i="48"/>
  <c r="D23" i="53" s="1"/>
  <c r="E65" i="48"/>
  <c r="E23" i="53" s="1"/>
  <c r="F64" i="48"/>
  <c r="E64" i="48"/>
  <c r="D4" i="53"/>
  <c r="F59" i="48"/>
  <c r="E59" i="48"/>
  <c r="E28" i="43"/>
  <c r="D28" i="43"/>
  <c r="F14" i="43"/>
  <c r="G14" i="43" s="1"/>
  <c r="H14" i="43" s="1"/>
  <c r="F13" i="43"/>
  <c r="G13" i="43" s="1"/>
  <c r="H13" i="43" s="1"/>
  <c r="H28" i="43" s="1"/>
  <c r="G41" i="48" s="1"/>
  <c r="E13" i="42"/>
  <c r="D13" i="42"/>
  <c r="F10" i="42"/>
  <c r="G10" i="42" s="1"/>
  <c r="H10" i="42" s="1"/>
  <c r="F9" i="42"/>
  <c r="G9" i="42" s="1"/>
  <c r="H9" i="42" s="1"/>
  <c r="G55" i="48" s="1"/>
  <c r="R201" i="41"/>
  <c r="S201" i="41"/>
  <c r="F173" i="41"/>
  <c r="E170" i="41"/>
  <c r="E173" i="41" l="1"/>
  <c r="F201" i="41"/>
  <c r="E201" i="41"/>
  <c r="R189" i="41"/>
  <c r="S189" i="41"/>
  <c r="F189" i="41"/>
  <c r="E189" i="41"/>
  <c r="R184" i="41"/>
  <c r="S184" i="41"/>
  <c r="Q184" i="41"/>
  <c r="F184" i="41"/>
  <c r="E184" i="41"/>
  <c r="E73" i="52"/>
  <c r="D73" i="52"/>
  <c r="I51" i="52"/>
  <c r="I73" i="52" s="1"/>
  <c r="F51" i="52"/>
  <c r="G51" i="52" s="1"/>
  <c r="H51" i="52" s="1"/>
  <c r="E22" i="52"/>
  <c r="D22" i="52"/>
  <c r="E23" i="52"/>
  <c r="D23" i="52"/>
  <c r="F13" i="52"/>
  <c r="G13" i="52" s="1"/>
  <c r="H13" i="52" s="1"/>
  <c r="F171" i="41"/>
  <c r="E171" i="41"/>
  <c r="F172" i="41"/>
  <c r="E172" i="41"/>
  <c r="F6" i="42"/>
  <c r="G6" i="42" s="1"/>
  <c r="H6" i="42" s="1"/>
  <c r="F9" i="16"/>
  <c r="G9" i="16" s="1"/>
  <c r="H9" i="16" s="1"/>
  <c r="L60" i="41"/>
  <c r="O60" i="41"/>
  <c r="O31" i="41"/>
  <c r="L31" i="41"/>
  <c r="G42" i="41"/>
  <c r="P42" i="41" s="1"/>
  <c r="G41" i="41"/>
  <c r="P41" i="41" s="1"/>
  <c r="M38" i="41"/>
  <c r="N38" i="41" s="1"/>
  <c r="M37" i="41"/>
  <c r="N37" i="41" s="1"/>
  <c r="M36" i="41"/>
  <c r="N36" i="41" s="1"/>
  <c r="M35" i="41"/>
  <c r="N35" i="41" s="1"/>
  <c r="M34" i="41"/>
  <c r="N34" i="41" s="1"/>
  <c r="M33" i="41"/>
  <c r="N33" i="41" s="1"/>
  <c r="K32" i="28"/>
  <c r="R18" i="41" s="1"/>
  <c r="K26" i="28"/>
  <c r="K27" i="28"/>
  <c r="I59" i="52" s="1"/>
  <c r="K28" i="28"/>
  <c r="K29" i="28"/>
  <c r="K30" i="28"/>
  <c r="K31" i="28"/>
  <c r="K25" i="28"/>
  <c r="R41" i="41" s="1"/>
  <c r="D44" i="28"/>
  <c r="D43" i="28"/>
  <c r="D38" i="28"/>
  <c r="D39" i="28"/>
  <c r="D37" i="28"/>
  <c r="I69" i="52"/>
  <c r="I82" i="52" s="1"/>
  <c r="E20" i="28"/>
  <c r="E21" i="28"/>
  <c r="E22" i="28"/>
  <c r="E23" i="28"/>
  <c r="E24" i="28"/>
  <c r="E25" i="28"/>
  <c r="E26" i="28"/>
  <c r="E27" i="28"/>
  <c r="E28" i="28"/>
  <c r="E29" i="28"/>
  <c r="E30" i="28"/>
  <c r="E31" i="28"/>
  <c r="E32" i="28"/>
  <c r="E33" i="28"/>
  <c r="E19" i="28"/>
  <c r="E14" i="28"/>
  <c r="E15" i="28"/>
  <c r="E16" i="28"/>
  <c r="E17" i="28"/>
  <c r="E13" i="28"/>
  <c r="E9" i="28"/>
  <c r="E10" i="28"/>
  <c r="E11" i="28"/>
  <c r="E8" i="28"/>
  <c r="F63" i="48"/>
  <c r="D6" i="53" s="1"/>
  <c r="E63" i="48"/>
  <c r="E6" i="53" s="1"/>
  <c r="E5" i="53"/>
  <c r="E4" i="53"/>
  <c r="Q201" i="41"/>
  <c r="Q189" i="41"/>
  <c r="E72" i="52"/>
  <c r="E74" i="52"/>
  <c r="E75" i="52"/>
  <c r="E76" i="52"/>
  <c r="E77" i="52"/>
  <c r="E78" i="52"/>
  <c r="E79" i="52"/>
  <c r="E80" i="52"/>
  <c r="E81" i="52"/>
  <c r="E82" i="52"/>
  <c r="D82" i="52"/>
  <c r="D81" i="52"/>
  <c r="D80" i="52"/>
  <c r="D79" i="52"/>
  <c r="D78" i="52"/>
  <c r="D77" i="52"/>
  <c r="D76" i="52"/>
  <c r="D75" i="52"/>
  <c r="D74" i="52"/>
  <c r="D72" i="52"/>
  <c r="F68" i="52"/>
  <c r="G68" i="52" s="1"/>
  <c r="H68" i="52" s="1"/>
  <c r="I67" i="52"/>
  <c r="F67" i="52"/>
  <c r="G67" i="52" s="1"/>
  <c r="H67" i="52" s="1"/>
  <c r="F66" i="52"/>
  <c r="G66" i="52" s="1"/>
  <c r="H66" i="52" s="1"/>
  <c r="I65" i="52"/>
  <c r="F65" i="52"/>
  <c r="G65" i="52" s="1"/>
  <c r="H65" i="52" s="1"/>
  <c r="F63" i="52"/>
  <c r="G63" i="52" s="1"/>
  <c r="H63" i="52" s="1"/>
  <c r="F62" i="52"/>
  <c r="G62" i="52" s="1"/>
  <c r="H62" i="52" s="1"/>
  <c r="F59" i="52"/>
  <c r="G59" i="52" s="1"/>
  <c r="H59" i="52" s="1"/>
  <c r="F58" i="52"/>
  <c r="G58" i="52" s="1"/>
  <c r="H58" i="52" s="1"/>
  <c r="F57" i="52"/>
  <c r="G57" i="52" s="1"/>
  <c r="H57" i="52" s="1"/>
  <c r="F56" i="52"/>
  <c r="G56" i="52" s="1"/>
  <c r="H56" i="52" s="1"/>
  <c r="F55" i="52"/>
  <c r="G55" i="52" s="1"/>
  <c r="H55" i="52" s="1"/>
  <c r="F54" i="52"/>
  <c r="G54" i="52" s="1"/>
  <c r="H54" i="52" s="1"/>
  <c r="F53" i="52"/>
  <c r="G53" i="52" s="1"/>
  <c r="H53" i="52" s="1"/>
  <c r="F52" i="52"/>
  <c r="G52" i="52" s="1"/>
  <c r="H52" i="52" s="1"/>
  <c r="F50" i="52"/>
  <c r="G50" i="52" s="1"/>
  <c r="H50" i="52" s="1"/>
  <c r="E40" i="52"/>
  <c r="E41" i="52"/>
  <c r="E42" i="52"/>
  <c r="E43" i="52"/>
  <c r="D43" i="52"/>
  <c r="D42" i="52"/>
  <c r="D41" i="52"/>
  <c r="D40" i="52"/>
  <c r="F37" i="52"/>
  <c r="G37" i="52" s="1"/>
  <c r="H37" i="52" s="1"/>
  <c r="F36" i="52"/>
  <c r="G36" i="52" s="1"/>
  <c r="H36" i="52" s="1"/>
  <c r="F31" i="52"/>
  <c r="G31" i="52" s="1"/>
  <c r="F32" i="52"/>
  <c r="G32" i="52" s="1"/>
  <c r="H32" i="52" s="1"/>
  <c r="F33" i="52"/>
  <c r="G33" i="52" s="1"/>
  <c r="H33" i="52" s="1"/>
  <c r="F30" i="52"/>
  <c r="G30" i="52" s="1"/>
  <c r="H30" i="52" s="1"/>
  <c r="F29" i="52"/>
  <c r="G29" i="52" s="1"/>
  <c r="H29" i="52" s="1"/>
  <c r="E17" i="52"/>
  <c r="E18" i="52"/>
  <c r="E19" i="52"/>
  <c r="E20" i="52"/>
  <c r="E21" i="52"/>
  <c r="D21" i="52"/>
  <c r="D20" i="52"/>
  <c r="D19" i="52"/>
  <c r="D18" i="52"/>
  <c r="D17" i="52"/>
  <c r="F7" i="52"/>
  <c r="G7" i="52" s="1"/>
  <c r="H7" i="52" s="1"/>
  <c r="F9" i="52"/>
  <c r="G9" i="52" s="1"/>
  <c r="H9" i="52" s="1"/>
  <c r="F5" i="52"/>
  <c r="G5" i="52" s="1"/>
  <c r="H5" i="52" s="1"/>
  <c r="H17" i="52" s="1"/>
  <c r="F69" i="52"/>
  <c r="G69" i="52" s="1"/>
  <c r="H69" i="52" s="1"/>
  <c r="H82" i="52" s="1"/>
  <c r="F64" i="52"/>
  <c r="G64" i="52" s="1"/>
  <c r="H64" i="52" s="1"/>
  <c r="H79" i="52" s="1"/>
  <c r="F61" i="52"/>
  <c r="G61" i="52" s="1"/>
  <c r="H61" i="52" s="1"/>
  <c r="F60" i="52"/>
  <c r="G60" i="52" s="1"/>
  <c r="H60" i="52" s="1"/>
  <c r="F49" i="52"/>
  <c r="G49" i="52" s="1"/>
  <c r="H49" i="52" s="1"/>
  <c r="F35" i="52"/>
  <c r="G35" i="52" s="1"/>
  <c r="H35" i="52" s="1"/>
  <c r="F34" i="52"/>
  <c r="G34" i="52" s="1"/>
  <c r="H34" i="52" s="1"/>
  <c r="F14" i="52"/>
  <c r="G14" i="52" s="1"/>
  <c r="H14" i="52" s="1"/>
  <c r="H23" i="52" s="1"/>
  <c r="F12" i="52"/>
  <c r="G12" i="52" s="1"/>
  <c r="H12" i="52" s="1"/>
  <c r="F11" i="52"/>
  <c r="G11" i="52" s="1"/>
  <c r="H11" i="52" s="1"/>
  <c r="F10" i="52"/>
  <c r="G10" i="52" s="1"/>
  <c r="H10" i="52" s="1"/>
  <c r="F8" i="52"/>
  <c r="G8" i="52" s="1"/>
  <c r="H8" i="52" s="1"/>
  <c r="F6" i="52"/>
  <c r="G6" i="52" s="1"/>
  <c r="H6" i="52" s="1"/>
  <c r="H18" i="52" s="1"/>
  <c r="R42" i="41" l="1"/>
  <c r="I8" i="42"/>
  <c r="J8" i="42" s="1"/>
  <c r="I12" i="43"/>
  <c r="J12" i="43" s="1"/>
  <c r="R37" i="44"/>
  <c r="S37" i="44" s="1"/>
  <c r="R39" i="44"/>
  <c r="S39" i="44" s="1"/>
  <c r="I7" i="42"/>
  <c r="R38" i="44"/>
  <c r="R36" i="44"/>
  <c r="I13" i="52"/>
  <c r="I22" i="52" s="1"/>
  <c r="S202" i="41"/>
  <c r="R202" i="41"/>
  <c r="G39" i="48"/>
  <c r="I5" i="52"/>
  <c r="I17" i="52" s="1"/>
  <c r="I50" i="52"/>
  <c r="J50" i="52" s="1"/>
  <c r="Q41" i="41"/>
  <c r="S41" i="41" s="1"/>
  <c r="I9" i="52"/>
  <c r="I10" i="42"/>
  <c r="J10" i="42" s="1"/>
  <c r="I14" i="43"/>
  <c r="J14" i="43" s="1"/>
  <c r="I66" i="52"/>
  <c r="I80" i="52" s="1"/>
  <c r="R108" i="41"/>
  <c r="I30" i="52"/>
  <c r="J30" i="52" s="1"/>
  <c r="R107" i="41"/>
  <c r="I9" i="16"/>
  <c r="H39" i="48" s="1"/>
  <c r="I68" i="52"/>
  <c r="J68" i="52" s="1"/>
  <c r="I63" i="52"/>
  <c r="J63" i="52" s="1"/>
  <c r="R136" i="41"/>
  <c r="I13" i="43"/>
  <c r="I9" i="42"/>
  <c r="I6" i="42"/>
  <c r="J6" i="42" s="1"/>
  <c r="E72" i="48"/>
  <c r="J51" i="52"/>
  <c r="J73" i="52" s="1"/>
  <c r="H73" i="52"/>
  <c r="E24" i="52"/>
  <c r="J13" i="52"/>
  <c r="J22" i="52" s="1"/>
  <c r="D24" i="52"/>
  <c r="H22" i="52"/>
  <c r="H76" i="52"/>
  <c r="H77" i="52"/>
  <c r="J67" i="52"/>
  <c r="H72" i="52"/>
  <c r="Q202" i="41"/>
  <c r="I34" i="52"/>
  <c r="J34" i="52" s="1"/>
  <c r="I29" i="52"/>
  <c r="I52" i="52"/>
  <c r="I35" i="52"/>
  <c r="I31" i="52"/>
  <c r="I54" i="52"/>
  <c r="J54" i="52" s="1"/>
  <c r="I33" i="52"/>
  <c r="J33" i="52" s="1"/>
  <c r="I55" i="52"/>
  <c r="J55" i="52" s="1"/>
  <c r="I7" i="52"/>
  <c r="I19" i="52" s="1"/>
  <c r="I10" i="52"/>
  <c r="J10" i="52" s="1"/>
  <c r="I56" i="52"/>
  <c r="J56" i="52" s="1"/>
  <c r="I64" i="52"/>
  <c r="I79" i="52" s="1"/>
  <c r="I57" i="52"/>
  <c r="I37" i="52"/>
  <c r="J37" i="52" s="1"/>
  <c r="I58" i="52"/>
  <c r="J58" i="52" s="1"/>
  <c r="I6" i="52"/>
  <c r="I18" i="52" s="1"/>
  <c r="I8" i="52"/>
  <c r="J8" i="52" s="1"/>
  <c r="I36" i="52"/>
  <c r="I12" i="52"/>
  <c r="J12" i="52" s="1"/>
  <c r="I62" i="52"/>
  <c r="I78" i="52" s="1"/>
  <c r="J65" i="52"/>
  <c r="I53" i="52"/>
  <c r="J53" i="52" s="1"/>
  <c r="I32" i="52"/>
  <c r="J32" i="52" s="1"/>
  <c r="I49" i="52"/>
  <c r="I60" i="52"/>
  <c r="I61" i="52"/>
  <c r="J61" i="52" s="1"/>
  <c r="J59" i="52"/>
  <c r="I11" i="52"/>
  <c r="J11" i="52" s="1"/>
  <c r="I14" i="52"/>
  <c r="I23" i="52" s="1"/>
  <c r="H74" i="52"/>
  <c r="H80" i="52"/>
  <c r="H78" i="52"/>
  <c r="H81" i="52"/>
  <c r="H75" i="52"/>
  <c r="H40" i="52"/>
  <c r="H42" i="52"/>
  <c r="H31" i="52"/>
  <c r="H41" i="52" s="1"/>
  <c r="H43" i="52"/>
  <c r="H21" i="52"/>
  <c r="H20" i="52"/>
  <c r="H19" i="52"/>
  <c r="E83" i="52"/>
  <c r="J9" i="52"/>
  <c r="D44" i="52"/>
  <c r="E44" i="52"/>
  <c r="D83" i="52"/>
  <c r="J69" i="52"/>
  <c r="J82" i="52" s="1"/>
  <c r="F5" i="42"/>
  <c r="G5" i="42" s="1"/>
  <c r="H5" i="42" s="1"/>
  <c r="I5" i="42"/>
  <c r="F170" i="41"/>
  <c r="R32" i="44" l="1"/>
  <c r="S32" i="44" s="1"/>
  <c r="S38" i="44"/>
  <c r="H36" i="48"/>
  <c r="J7" i="42"/>
  <c r="I36" i="48" s="1"/>
  <c r="I42" i="52"/>
  <c r="J5" i="52"/>
  <c r="J17" i="52" s="1"/>
  <c r="R40" i="44"/>
  <c r="S36" i="44"/>
  <c r="R31" i="44"/>
  <c r="E85" i="52"/>
  <c r="D85" i="52"/>
  <c r="J81" i="52"/>
  <c r="I28" i="43"/>
  <c r="H41" i="48" s="1"/>
  <c r="J13" i="43"/>
  <c r="J28" i="43" s="1"/>
  <c r="I41" i="48" s="1"/>
  <c r="I13" i="42"/>
  <c r="H40" i="48"/>
  <c r="H24" i="52"/>
  <c r="I40" i="52"/>
  <c r="J66" i="52"/>
  <c r="H55" i="48"/>
  <c r="J9" i="42"/>
  <c r="I55" i="48" s="1"/>
  <c r="I81" i="52"/>
  <c r="J9" i="16"/>
  <c r="I39" i="48" s="1"/>
  <c r="H13" i="42"/>
  <c r="G40" i="48"/>
  <c r="G66" i="48" s="1"/>
  <c r="F24" i="53" s="1"/>
  <c r="I72" i="52"/>
  <c r="T41" i="41"/>
  <c r="J80" i="52"/>
  <c r="J29" i="52"/>
  <c r="J40" i="52" s="1"/>
  <c r="I43" i="52"/>
  <c r="I41" i="52"/>
  <c r="I77" i="52"/>
  <c r="J35" i="52"/>
  <c r="J42" i="52" s="1"/>
  <c r="J60" i="52"/>
  <c r="J77" i="52" s="1"/>
  <c r="J62" i="52"/>
  <c r="J78" i="52" s="1"/>
  <c r="I76" i="52"/>
  <c r="I75" i="52"/>
  <c r="J57" i="52"/>
  <c r="J76" i="52" s="1"/>
  <c r="I20" i="52"/>
  <c r="I74" i="52"/>
  <c r="I21" i="52"/>
  <c r="J36" i="52"/>
  <c r="J43" i="52" s="1"/>
  <c r="J75" i="52"/>
  <c r="J6" i="52"/>
  <c r="J18" i="52" s="1"/>
  <c r="J14" i="52"/>
  <c r="J23" i="52" s="1"/>
  <c r="J64" i="52"/>
  <c r="J79" i="52" s="1"/>
  <c r="J52" i="52"/>
  <c r="J74" i="52" s="1"/>
  <c r="J49" i="52"/>
  <c r="J72" i="52" s="1"/>
  <c r="J7" i="52"/>
  <c r="J19" i="52" s="1"/>
  <c r="J5" i="42"/>
  <c r="F174" i="41"/>
  <c r="E174" i="41"/>
  <c r="J31" i="52"/>
  <c r="J41" i="52" s="1"/>
  <c r="J21" i="52"/>
  <c r="J20" i="52"/>
  <c r="H44" i="52"/>
  <c r="H83" i="52"/>
  <c r="H85" i="52" s="1"/>
  <c r="S31" i="44" l="1"/>
  <c r="S40" i="44"/>
  <c r="I44" i="52"/>
  <c r="J13" i="42"/>
  <c r="I40" i="48"/>
  <c r="I66" i="48" s="1"/>
  <c r="H66" i="48"/>
  <c r="J24" i="52"/>
  <c r="I24" i="52"/>
  <c r="J44" i="52"/>
  <c r="I83" i="52"/>
  <c r="I85" i="52" s="1"/>
  <c r="J83" i="52"/>
  <c r="J85" i="52" l="1"/>
  <c r="E16" i="46"/>
  <c r="D16" i="46"/>
  <c r="F13" i="46"/>
  <c r="G13" i="46" s="1"/>
  <c r="H13" i="46" s="1"/>
  <c r="G57" i="48" s="1"/>
  <c r="F12" i="46"/>
  <c r="G12" i="46" s="1"/>
  <c r="H12" i="46" s="1"/>
  <c r="G53" i="48" s="1"/>
  <c r="F11" i="46"/>
  <c r="G11" i="46" s="1"/>
  <c r="H11" i="46" s="1"/>
  <c r="G50" i="48" s="1"/>
  <c r="F10" i="46"/>
  <c r="G10" i="46" s="1"/>
  <c r="H10" i="46" s="1"/>
  <c r="G42" i="48" s="1"/>
  <c r="F9" i="46"/>
  <c r="G9" i="46" s="1"/>
  <c r="H9" i="46" s="1"/>
  <c r="G32" i="48" s="1"/>
  <c r="F8" i="46"/>
  <c r="G8" i="46" s="1"/>
  <c r="H8" i="46" s="1"/>
  <c r="G29" i="48" s="1"/>
  <c r="F7" i="46"/>
  <c r="G7" i="46" s="1"/>
  <c r="H7" i="46" s="1"/>
  <c r="G25" i="48" s="1"/>
  <c r="F68" i="48"/>
  <c r="H68" i="48"/>
  <c r="H26" i="53" s="1"/>
  <c r="E68" i="48"/>
  <c r="E25" i="43"/>
  <c r="E26" i="43"/>
  <c r="E29" i="43"/>
  <c r="E30" i="43"/>
  <c r="E31" i="43"/>
  <c r="D31" i="43"/>
  <c r="D30" i="43"/>
  <c r="D29" i="43"/>
  <c r="D26" i="43"/>
  <c r="D25" i="43"/>
  <c r="E23" i="43"/>
  <c r="D23" i="43"/>
  <c r="F8" i="43"/>
  <c r="E13" i="16"/>
  <c r="D13" i="16"/>
  <c r="I5" i="16"/>
  <c r="H6" i="48" s="1"/>
  <c r="F10" i="16"/>
  <c r="G10" i="16" s="1"/>
  <c r="H10" i="16" s="1"/>
  <c r="G46" i="48" s="1"/>
  <c r="M26" i="44"/>
  <c r="M25" i="44"/>
  <c r="M24" i="44"/>
  <c r="M21" i="44"/>
  <c r="M12" i="44"/>
  <c r="M11" i="44"/>
  <c r="M10" i="44"/>
  <c r="M9" i="44"/>
  <c r="M7" i="44"/>
  <c r="L19" i="44"/>
  <c r="L154" i="41"/>
  <c r="L139" i="41"/>
  <c r="O5" i="41"/>
  <c r="O154" i="41"/>
  <c r="O139" i="41"/>
  <c r="G165" i="41"/>
  <c r="P165" i="41" s="1"/>
  <c r="G164" i="41"/>
  <c r="P164" i="41" s="1"/>
  <c r="M161" i="41"/>
  <c r="N161" i="41" s="1"/>
  <c r="M160" i="41"/>
  <c r="N160" i="41" s="1"/>
  <c r="M159" i="41"/>
  <c r="N159" i="41" s="1"/>
  <c r="M158" i="41"/>
  <c r="N158" i="41" s="1"/>
  <c r="M156" i="41"/>
  <c r="N156" i="41" s="1"/>
  <c r="G151" i="41"/>
  <c r="P151" i="41" s="1"/>
  <c r="G150" i="41"/>
  <c r="P150" i="41" s="1"/>
  <c r="G149" i="41"/>
  <c r="P149" i="41" s="1"/>
  <c r="M146" i="41"/>
  <c r="N146" i="41" s="1"/>
  <c r="M145" i="41"/>
  <c r="N145" i="41" s="1"/>
  <c r="M144" i="41"/>
  <c r="N144" i="41" s="1"/>
  <c r="M141" i="41"/>
  <c r="N141" i="41" s="1"/>
  <c r="O121" i="41"/>
  <c r="O111" i="41"/>
  <c r="G136" i="41"/>
  <c r="P136" i="41" s="1"/>
  <c r="G135" i="41"/>
  <c r="P135" i="41" s="1"/>
  <c r="G132" i="41"/>
  <c r="P132" i="41" s="1"/>
  <c r="G131" i="41"/>
  <c r="P131" i="41" s="1"/>
  <c r="M128" i="41"/>
  <c r="N128" i="41" s="1"/>
  <c r="M127" i="41"/>
  <c r="N127" i="41" s="1"/>
  <c r="M126" i="41"/>
  <c r="N126" i="41" s="1"/>
  <c r="M125" i="41"/>
  <c r="N125" i="41" s="1"/>
  <c r="M123" i="41"/>
  <c r="N123" i="41" s="1"/>
  <c r="M118" i="41"/>
  <c r="N118" i="41" s="1"/>
  <c r="M117" i="41"/>
  <c r="N117" i="41" s="1"/>
  <c r="M116" i="41"/>
  <c r="N116" i="41" s="1"/>
  <c r="M115" i="41"/>
  <c r="N115" i="41" s="1"/>
  <c r="M114" i="41"/>
  <c r="N114" i="41" s="1"/>
  <c r="M113" i="41"/>
  <c r="N113" i="41" s="1"/>
  <c r="M112" i="41"/>
  <c r="N112" i="41" s="1"/>
  <c r="O92" i="41"/>
  <c r="O82" i="41"/>
  <c r="G108" i="41"/>
  <c r="P108" i="41" s="1"/>
  <c r="G107" i="41"/>
  <c r="P107" i="41" s="1"/>
  <c r="G106" i="41"/>
  <c r="P106" i="41" s="1"/>
  <c r="G72" i="41"/>
  <c r="P72" i="41" s="1"/>
  <c r="G71" i="41"/>
  <c r="P71" i="41" s="1"/>
  <c r="G70" i="41"/>
  <c r="P70" i="41" s="1"/>
  <c r="M99" i="41"/>
  <c r="N99" i="41" s="1"/>
  <c r="M98" i="41"/>
  <c r="N98" i="41" s="1"/>
  <c r="M97" i="41"/>
  <c r="N97" i="41" s="1"/>
  <c r="M94" i="41"/>
  <c r="N94" i="41" s="1"/>
  <c r="M89" i="41"/>
  <c r="N89" i="41" s="1"/>
  <c r="M88" i="41"/>
  <c r="N88" i="41" s="1"/>
  <c r="M87" i="41"/>
  <c r="N87" i="41" s="1"/>
  <c r="M84" i="41"/>
  <c r="N84" i="41" s="1"/>
  <c r="M67" i="41"/>
  <c r="N67" i="41" s="1"/>
  <c r="M66" i="41"/>
  <c r="N66" i="41" s="1"/>
  <c r="M65" i="41"/>
  <c r="N65" i="41" s="1"/>
  <c r="M62" i="41"/>
  <c r="N62" i="41" s="1"/>
  <c r="M57" i="41"/>
  <c r="N57" i="41" s="1"/>
  <c r="M56" i="41"/>
  <c r="N56" i="41" s="1"/>
  <c r="M55" i="41"/>
  <c r="N55" i="41" s="1"/>
  <c r="M52" i="41"/>
  <c r="N52" i="41" s="1"/>
  <c r="O50" i="41"/>
  <c r="G77" i="41"/>
  <c r="P77" i="41" s="1"/>
  <c r="L50" i="41"/>
  <c r="O21" i="41"/>
  <c r="L21" i="41"/>
  <c r="M28" i="41"/>
  <c r="N28" i="41" s="1"/>
  <c r="M27" i="41"/>
  <c r="N27" i="41" s="1"/>
  <c r="M26" i="41"/>
  <c r="N26" i="41" s="1"/>
  <c r="M23" i="41"/>
  <c r="N23" i="41" s="1"/>
  <c r="M12" i="41"/>
  <c r="N12" i="41" s="1"/>
  <c r="M11" i="41"/>
  <c r="N11" i="41" s="1"/>
  <c r="M10" i="41"/>
  <c r="N10" i="41" s="1"/>
  <c r="M7" i="41"/>
  <c r="N7" i="41" s="1"/>
  <c r="G47" i="41"/>
  <c r="P47" i="41" s="1"/>
  <c r="G46" i="41"/>
  <c r="P46" i="41" s="1"/>
  <c r="G45" i="41"/>
  <c r="P45" i="41" s="1"/>
  <c r="K11" i="6"/>
  <c r="L11" i="6" s="1"/>
  <c r="R78" i="41"/>
  <c r="R79" i="41"/>
  <c r="G17" i="41"/>
  <c r="P17" i="41" s="1"/>
  <c r="G16" i="41"/>
  <c r="P16" i="41" s="1"/>
  <c r="G103" i="41"/>
  <c r="P103" i="41" s="1"/>
  <c r="G102" i="41"/>
  <c r="P102" i="41" s="1"/>
  <c r="G76" i="41"/>
  <c r="P76" i="41" s="1"/>
  <c r="G75" i="41"/>
  <c r="P75" i="41" s="1"/>
  <c r="K12" i="6"/>
  <c r="L12" i="6" s="1"/>
  <c r="K10" i="6"/>
  <c r="L10" i="6" s="1"/>
  <c r="K9" i="6"/>
  <c r="L9" i="6" s="1"/>
  <c r="J5" i="6"/>
  <c r="J15" i="6" s="1"/>
  <c r="M24" i="41"/>
  <c r="N24" i="41" s="1"/>
  <c r="M25" i="41"/>
  <c r="N25" i="41" s="1"/>
  <c r="D6" i="28"/>
  <c r="D7" i="28"/>
  <c r="K7" i="6" s="1"/>
  <c r="L7" i="6" s="1"/>
  <c r="M19" i="44" l="1"/>
  <c r="K8" i="6"/>
  <c r="L8" i="6" s="1"/>
  <c r="F72" i="48"/>
  <c r="D5" i="53"/>
  <c r="E73" i="48"/>
  <c r="E26" i="53"/>
  <c r="F73" i="48"/>
  <c r="D26" i="53"/>
  <c r="K5" i="6"/>
  <c r="L5" i="6" s="1"/>
  <c r="E7" i="28"/>
  <c r="M32" i="41"/>
  <c r="N32" i="41" s="1"/>
  <c r="E6" i="28"/>
  <c r="M31" i="41"/>
  <c r="N31" i="41" s="1"/>
  <c r="P31" i="41" s="1"/>
  <c r="Q31" i="41" s="1"/>
  <c r="Q164" i="41"/>
  <c r="V162" i="41" s="1"/>
  <c r="M142" i="41"/>
  <c r="N142" i="41" s="1"/>
  <c r="M143" i="41"/>
  <c r="N143" i="41" s="1"/>
  <c r="M6" i="44"/>
  <c r="M124" i="41"/>
  <c r="N124" i="41" s="1"/>
  <c r="M8" i="44"/>
  <c r="M20" i="44"/>
  <c r="M23" i="44"/>
  <c r="M5" i="44"/>
  <c r="M122" i="41"/>
  <c r="N122" i="41" s="1"/>
  <c r="M155" i="41"/>
  <c r="N155" i="41" s="1"/>
  <c r="M121" i="41"/>
  <c r="N121" i="41" s="1"/>
  <c r="M154" i="41"/>
  <c r="N154" i="41" s="1"/>
  <c r="M157" i="41"/>
  <c r="N157" i="41" s="1"/>
  <c r="M22" i="44"/>
  <c r="M139" i="41"/>
  <c r="N139" i="41" s="1"/>
  <c r="M111" i="41"/>
  <c r="N111" i="41" s="1"/>
  <c r="M140" i="41"/>
  <c r="N140" i="41" s="1"/>
  <c r="Q131" i="41"/>
  <c r="P154" i="41"/>
  <c r="Q154" i="41" s="1"/>
  <c r="Q149" i="41"/>
  <c r="V147" i="41" s="1"/>
  <c r="Q135" i="41"/>
  <c r="M92" i="41"/>
  <c r="N92" i="41" s="1"/>
  <c r="M51" i="41"/>
  <c r="N51" i="41" s="1"/>
  <c r="M93" i="41"/>
  <c r="N93" i="41" s="1"/>
  <c r="M53" i="41"/>
  <c r="N53" i="41" s="1"/>
  <c r="M95" i="41"/>
  <c r="N95" i="41" s="1"/>
  <c r="M54" i="41"/>
  <c r="N54" i="41" s="1"/>
  <c r="M96" i="41"/>
  <c r="N96" i="41" s="1"/>
  <c r="M82" i="41"/>
  <c r="N82" i="41" s="1"/>
  <c r="M83" i="41"/>
  <c r="N83" i="41" s="1"/>
  <c r="M60" i="41"/>
  <c r="N60" i="41" s="1"/>
  <c r="M61" i="41"/>
  <c r="N61" i="41" s="1"/>
  <c r="M63" i="41"/>
  <c r="N63" i="41" s="1"/>
  <c r="M64" i="41"/>
  <c r="N64" i="41" s="1"/>
  <c r="M86" i="41"/>
  <c r="N86" i="41" s="1"/>
  <c r="M50" i="41"/>
  <c r="N50" i="41" s="1"/>
  <c r="M85" i="41"/>
  <c r="N85" i="41" s="1"/>
  <c r="Q70" i="41"/>
  <c r="Q45" i="41"/>
  <c r="M5" i="41"/>
  <c r="M6" i="41"/>
  <c r="N6" i="41" s="1"/>
  <c r="M8" i="41"/>
  <c r="N8" i="41" s="1"/>
  <c r="M9" i="41"/>
  <c r="N9" i="41" s="1"/>
  <c r="M21" i="41"/>
  <c r="N21" i="41" s="1"/>
  <c r="M22" i="41"/>
  <c r="N22" i="41" s="1"/>
  <c r="Q102" i="41"/>
  <c r="Q106" i="41"/>
  <c r="V104" i="41" s="1"/>
  <c r="J17" i="6"/>
  <c r="L15" i="6" l="1"/>
  <c r="G61" i="48" s="1"/>
  <c r="F4" i="53" s="1"/>
  <c r="G4" i="53" s="1"/>
  <c r="L16" i="6"/>
  <c r="G62" i="48" s="1"/>
  <c r="F5" i="53" s="1"/>
  <c r="E15" i="53"/>
  <c r="D15" i="53"/>
  <c r="P139" i="41"/>
  <c r="Q139" i="41" s="1"/>
  <c r="V137" i="41" s="1"/>
  <c r="E30" i="53"/>
  <c r="E31" i="53"/>
  <c r="D31" i="53"/>
  <c r="D30" i="53"/>
  <c r="Q171" i="41"/>
  <c r="V29" i="41"/>
  <c r="Q173" i="41"/>
  <c r="P60" i="41"/>
  <c r="V43" i="41"/>
  <c r="P50" i="41"/>
  <c r="Q50" i="41" s="1"/>
  <c r="V48" i="41" s="1"/>
  <c r="V133" i="41"/>
  <c r="V152" i="41"/>
  <c r="P21" i="41"/>
  <c r="Q21" i="41" s="1"/>
  <c r="V19" i="41" s="1"/>
  <c r="Q60" i="41"/>
  <c r="Q172" i="41" s="1"/>
  <c r="C15" i="53" l="1"/>
  <c r="F15" i="53"/>
  <c r="L17" i="6"/>
  <c r="C30" i="53"/>
  <c r="F30" i="53"/>
  <c r="G64" i="48"/>
  <c r="G38" i="48"/>
  <c r="V58" i="41"/>
  <c r="D22" i="15"/>
  <c r="E22" i="15"/>
  <c r="F22" i="15"/>
  <c r="G22" i="15"/>
  <c r="C22" i="15"/>
  <c r="E24" i="43"/>
  <c r="D24" i="43"/>
  <c r="J13" i="46" l="1"/>
  <c r="I57" i="48" s="1"/>
  <c r="J12" i="46"/>
  <c r="I53" i="48" s="1"/>
  <c r="J11" i="46"/>
  <c r="I50" i="48" s="1"/>
  <c r="J10" i="46"/>
  <c r="I42" i="48" s="1"/>
  <c r="J9" i="46"/>
  <c r="I32" i="48" s="1"/>
  <c r="J8" i="46"/>
  <c r="I29" i="48" s="1"/>
  <c r="J7" i="46"/>
  <c r="I25" i="48" s="1"/>
  <c r="D32" i="43"/>
  <c r="E32" i="43"/>
  <c r="F8" i="16" l="1"/>
  <c r="G8" i="16" s="1"/>
  <c r="H8" i="16" s="1"/>
  <c r="G35" i="48" s="1"/>
  <c r="F7" i="16"/>
  <c r="F6" i="16"/>
  <c r="G6" i="16" s="1"/>
  <c r="H6" i="16" s="1"/>
  <c r="G22" i="48" s="1"/>
  <c r="G7" i="16" l="1"/>
  <c r="H7" i="16" s="1"/>
  <c r="G27" i="48" s="1"/>
  <c r="F74" i="48"/>
  <c r="E74" i="48"/>
  <c r="E7" i="49" l="1"/>
  <c r="G15" i="41" l="1"/>
  <c r="P15" i="41" l="1"/>
  <c r="F19" i="43" l="1"/>
  <c r="G19" i="43" s="1"/>
  <c r="H19" i="43" s="1"/>
  <c r="F20" i="43"/>
  <c r="G20" i="43" s="1"/>
  <c r="H20" i="43" s="1"/>
  <c r="H31" i="43" s="1"/>
  <c r="G56" i="48" s="1"/>
  <c r="F18" i="43"/>
  <c r="G18" i="43" s="1"/>
  <c r="H18" i="43" s="1"/>
  <c r="F17" i="43"/>
  <c r="G17" i="43" s="1"/>
  <c r="H17" i="43" s="1"/>
  <c r="F16" i="43"/>
  <c r="G16" i="43" s="1"/>
  <c r="H16" i="43" s="1"/>
  <c r="F15" i="43"/>
  <c r="G15" i="43" s="1"/>
  <c r="H15" i="43" s="1"/>
  <c r="F11" i="43"/>
  <c r="G11" i="43" s="1"/>
  <c r="H11" i="43" s="1"/>
  <c r="H27" i="43" s="1"/>
  <c r="G37" i="48" s="1"/>
  <c r="F10" i="43"/>
  <c r="G10" i="43" s="1"/>
  <c r="H10" i="43" s="1"/>
  <c r="F9" i="43"/>
  <c r="G9" i="43" s="1"/>
  <c r="H9" i="43" s="1"/>
  <c r="G8" i="43"/>
  <c r="H8" i="43" s="1"/>
  <c r="F7" i="43"/>
  <c r="G7" i="43" s="1"/>
  <c r="H7" i="43" s="1"/>
  <c r="H25" i="43" s="1"/>
  <c r="G24" i="48" s="1"/>
  <c r="F6" i="43"/>
  <c r="G6" i="43" s="1"/>
  <c r="H6" i="43" s="1"/>
  <c r="F17" i="6"/>
  <c r="E17" i="6"/>
  <c r="H29" i="43" l="1"/>
  <c r="G47" i="48" s="1"/>
  <c r="H26" i="43"/>
  <c r="G28" i="48" s="1"/>
  <c r="H30" i="43"/>
  <c r="G52" i="48" s="1"/>
  <c r="H24" i="43"/>
  <c r="G18" i="48" s="1"/>
  <c r="F5" i="43" l="1"/>
  <c r="G5" i="43" s="1"/>
  <c r="H5" i="43" s="1"/>
  <c r="H23" i="43" s="1"/>
  <c r="G11" i="48" s="1"/>
  <c r="G67" i="48" s="1"/>
  <c r="F25" i="53" s="1"/>
  <c r="E7" i="47"/>
  <c r="D7" i="47"/>
  <c r="F6" i="46"/>
  <c r="G6" i="46" s="1"/>
  <c r="H6" i="46" s="1"/>
  <c r="G19" i="48" s="1"/>
  <c r="F5" i="46"/>
  <c r="G5" i="46" l="1"/>
  <c r="H32" i="43"/>
  <c r="H5" i="46" l="1"/>
  <c r="G78" i="41"/>
  <c r="P78" i="41" s="1"/>
  <c r="G79" i="41"/>
  <c r="P79" i="41" s="1"/>
  <c r="H16" i="46" l="1"/>
  <c r="G4" i="48"/>
  <c r="G68" i="48" s="1"/>
  <c r="F26" i="53" s="1"/>
  <c r="G26" i="53" s="1"/>
  <c r="I26" i="53" s="1"/>
  <c r="Q75" i="41"/>
  <c r="V73" i="41" s="1"/>
  <c r="I16" i="46"/>
  <c r="J6" i="46" l="1"/>
  <c r="I19" i="48" s="1"/>
  <c r="J5" i="46"/>
  <c r="J16" i="46" l="1"/>
  <c r="I4" i="48"/>
  <c r="I68" i="48" s="1"/>
  <c r="G29" i="44"/>
  <c r="G16" i="44"/>
  <c r="G15" i="44"/>
  <c r="J22" i="28" l="1"/>
  <c r="R151" i="41" l="1"/>
  <c r="I8" i="43"/>
  <c r="R132" i="41"/>
  <c r="R165" i="41"/>
  <c r="R150" i="41"/>
  <c r="R47" i="41"/>
  <c r="R72" i="41"/>
  <c r="R77" i="41"/>
  <c r="R46" i="41"/>
  <c r="R71" i="41"/>
  <c r="R76" i="41"/>
  <c r="R17" i="41"/>
  <c r="R16" i="41"/>
  <c r="R103" i="41"/>
  <c r="I10" i="43"/>
  <c r="J10" i="43" s="1"/>
  <c r="J8" i="43"/>
  <c r="I18" i="43"/>
  <c r="J18" i="43" s="1"/>
  <c r="I16" i="43"/>
  <c r="J16" i="43" s="1"/>
  <c r="I19" i="43"/>
  <c r="J19" i="43" s="1"/>
  <c r="R16" i="44"/>
  <c r="P29" i="44" l="1"/>
  <c r="N26" i="44"/>
  <c r="N25" i="44"/>
  <c r="N24" i="44"/>
  <c r="N23" i="44"/>
  <c r="N22" i="44"/>
  <c r="N21" i="44"/>
  <c r="N20" i="44"/>
  <c r="O19" i="44"/>
  <c r="N19" i="44"/>
  <c r="P16" i="44"/>
  <c r="P15" i="44"/>
  <c r="N12" i="44"/>
  <c r="N11" i="44"/>
  <c r="N10" i="44"/>
  <c r="N9" i="44"/>
  <c r="N8" i="44"/>
  <c r="N7" i="44"/>
  <c r="N6" i="44"/>
  <c r="O5" i="44"/>
  <c r="N5" i="44"/>
  <c r="N5" i="41"/>
  <c r="Q29" i="44" l="1"/>
  <c r="Q15" i="44"/>
  <c r="P19" i="44"/>
  <c r="Q19" i="44" s="1"/>
  <c r="P5" i="41"/>
  <c r="Q33" i="44" l="1"/>
  <c r="J16" i="28" l="1"/>
  <c r="I16" i="28"/>
  <c r="M7" i="6" l="1"/>
  <c r="N7" i="6" s="1"/>
  <c r="M8" i="6"/>
  <c r="M5" i="6"/>
  <c r="M15" i="6" s="1"/>
  <c r="H61" i="48" s="1"/>
  <c r="M16" i="6" l="1"/>
  <c r="H62" i="48" s="1"/>
  <c r="N8" i="6"/>
  <c r="N16" i="6" s="1"/>
  <c r="I62" i="48" s="1"/>
  <c r="N5" i="6"/>
  <c r="N15" i="6" s="1"/>
  <c r="I61" i="48" s="1"/>
  <c r="N17" i="6" l="1"/>
  <c r="M17" i="6"/>
  <c r="I22" i="28"/>
  <c r="R31" i="41" l="1"/>
  <c r="R50" i="41"/>
  <c r="S50" i="41" s="1"/>
  <c r="T50" i="41" s="1"/>
  <c r="H4" i="53"/>
  <c r="R5" i="44"/>
  <c r="R111" i="41"/>
  <c r="R154" i="41"/>
  <c r="S154" i="41" s="1"/>
  <c r="T154" i="41" s="1"/>
  <c r="R139" i="41"/>
  <c r="S139" i="41" s="1"/>
  <c r="T139" i="41" s="1"/>
  <c r="R92" i="41"/>
  <c r="R82" i="41"/>
  <c r="R19" i="44"/>
  <c r="S19" i="44" s="1"/>
  <c r="T19" i="44" s="1"/>
  <c r="R121" i="41"/>
  <c r="R60" i="41"/>
  <c r="R172" i="41" s="1"/>
  <c r="R5" i="41"/>
  <c r="R170" i="41" s="1"/>
  <c r="H63" i="48" s="1"/>
  <c r="R21" i="41"/>
  <c r="S21" i="41" s="1"/>
  <c r="T21" i="41" s="1"/>
  <c r="Q5" i="41"/>
  <c r="Q170" i="41" s="1"/>
  <c r="R171" i="41" l="1"/>
  <c r="S31" i="41"/>
  <c r="I4" i="53"/>
  <c r="S60" i="41"/>
  <c r="V3" i="41"/>
  <c r="G63" i="48"/>
  <c r="R149" i="41"/>
  <c r="S149" i="41" s="1"/>
  <c r="T149" i="41" s="1"/>
  <c r="R131" i="41"/>
  <c r="S131" i="41" s="1"/>
  <c r="T131" i="41" s="1"/>
  <c r="R164" i="41"/>
  <c r="S164" i="41" s="1"/>
  <c r="T164" i="41" s="1"/>
  <c r="R135" i="41"/>
  <c r="S135" i="41" s="1"/>
  <c r="T135" i="41" s="1"/>
  <c r="L92" i="41"/>
  <c r="P92" i="41" s="1"/>
  <c r="Q92" i="41" s="1"/>
  <c r="L111" i="41"/>
  <c r="P111" i="41" s="1"/>
  <c r="Q111" i="41" s="1"/>
  <c r="R45" i="41"/>
  <c r="R70" i="41"/>
  <c r="R75" i="41"/>
  <c r="S75" i="41" s="1"/>
  <c r="T75" i="41" s="1"/>
  <c r="R106" i="41"/>
  <c r="S106" i="41" s="1"/>
  <c r="R102" i="41"/>
  <c r="S102" i="41" s="1"/>
  <c r="T102" i="41" s="1"/>
  <c r="I7" i="16"/>
  <c r="H27" i="48" s="1"/>
  <c r="I10" i="16"/>
  <c r="H46" i="48" s="1"/>
  <c r="I6" i="16"/>
  <c r="H22" i="48" s="1"/>
  <c r="I8" i="16"/>
  <c r="H35" i="48" s="1"/>
  <c r="R15" i="41"/>
  <c r="I11" i="43"/>
  <c r="I27" i="43" s="1"/>
  <c r="H37" i="48" s="1"/>
  <c r="I17" i="43"/>
  <c r="I30" i="43" s="1"/>
  <c r="H52" i="48" s="1"/>
  <c r="I6" i="43"/>
  <c r="I24" i="43" s="1"/>
  <c r="H18" i="48" s="1"/>
  <c r="I9" i="43"/>
  <c r="I26" i="43" s="1"/>
  <c r="H28" i="48" s="1"/>
  <c r="I7" i="43"/>
  <c r="I15" i="43"/>
  <c r="I29" i="43" s="1"/>
  <c r="H47" i="48" s="1"/>
  <c r="I20" i="43"/>
  <c r="I31" i="43" s="1"/>
  <c r="H56" i="48" s="1"/>
  <c r="I5" i="43"/>
  <c r="I23" i="43" s="1"/>
  <c r="H11" i="48" s="1"/>
  <c r="R29" i="44"/>
  <c r="R15" i="44"/>
  <c r="L5" i="44"/>
  <c r="P5" i="44" s="1"/>
  <c r="Q5" i="44" s="1"/>
  <c r="S5" i="44" s="1"/>
  <c r="T5" i="44" s="1"/>
  <c r="F6" i="53" l="1"/>
  <c r="G6" i="53" s="1"/>
  <c r="G14" i="53" s="1"/>
  <c r="G72" i="48"/>
  <c r="T60" i="41"/>
  <c r="S172" i="41"/>
  <c r="T31" i="41"/>
  <c r="S171" i="41"/>
  <c r="H64" i="48"/>
  <c r="H38" i="48"/>
  <c r="H65" i="48"/>
  <c r="J8" i="16"/>
  <c r="I35" i="48" s="1"/>
  <c r="S70" i="41"/>
  <c r="R173" i="41"/>
  <c r="J7" i="16"/>
  <c r="I27" i="48" s="1"/>
  <c r="J10" i="16"/>
  <c r="I46" i="48" s="1"/>
  <c r="T106" i="41"/>
  <c r="S45" i="41"/>
  <c r="J6" i="16"/>
  <c r="I22" i="48" s="1"/>
  <c r="I13" i="16"/>
  <c r="S92" i="41"/>
  <c r="T92" i="41" s="1"/>
  <c r="V90" i="41"/>
  <c r="V109" i="41"/>
  <c r="S111" i="41"/>
  <c r="T111" i="41" s="1"/>
  <c r="L121" i="41"/>
  <c r="P121" i="41" s="1"/>
  <c r="Q121" i="41" s="1"/>
  <c r="R33" i="44"/>
  <c r="I25" i="43"/>
  <c r="H24" i="48" s="1"/>
  <c r="H67" i="48" s="1"/>
  <c r="S15" i="44"/>
  <c r="S29" i="44"/>
  <c r="T29" i="44" s="1"/>
  <c r="J5" i="43"/>
  <c r="J23" i="43" s="1"/>
  <c r="I11" i="48" s="1"/>
  <c r="J20" i="43"/>
  <c r="J31" i="43" s="1"/>
  <c r="I56" i="48" s="1"/>
  <c r="J9" i="43"/>
  <c r="J26" i="43" s="1"/>
  <c r="I28" i="48" s="1"/>
  <c r="J17" i="43"/>
  <c r="J30" i="43" s="1"/>
  <c r="I52" i="48" s="1"/>
  <c r="J7" i="43"/>
  <c r="J25" i="43" s="1"/>
  <c r="I24" i="48" s="1"/>
  <c r="J15" i="43"/>
  <c r="J29" i="43" s="1"/>
  <c r="I47" i="48" s="1"/>
  <c r="J6" i="43"/>
  <c r="J24" i="43" s="1"/>
  <c r="I18" i="48" s="1"/>
  <c r="J11" i="43"/>
  <c r="J27" i="43" s="1"/>
  <c r="I37" i="48" s="1"/>
  <c r="G15" i="53" l="1"/>
  <c r="H23" i="53"/>
  <c r="H73" i="48"/>
  <c r="I67" i="48"/>
  <c r="H6" i="53"/>
  <c r="H72" i="48"/>
  <c r="I64" i="48"/>
  <c r="I38" i="48"/>
  <c r="R174" i="41"/>
  <c r="T70" i="41"/>
  <c r="S173" i="41"/>
  <c r="Q174" i="41"/>
  <c r="T45" i="41"/>
  <c r="L82" i="41"/>
  <c r="P82" i="41" s="1"/>
  <c r="Q82" i="41" s="1"/>
  <c r="S33" i="44"/>
  <c r="S121" i="41"/>
  <c r="V119" i="41"/>
  <c r="I32" i="43"/>
  <c r="T15" i="44"/>
  <c r="H15" i="53" l="1"/>
  <c r="H14" i="53"/>
  <c r="I6" i="53"/>
  <c r="H29" i="53"/>
  <c r="H31" i="53"/>
  <c r="T121" i="41"/>
  <c r="V80" i="41"/>
  <c r="S82" i="41"/>
  <c r="T82" i="41" s="1"/>
  <c r="G18" i="41"/>
  <c r="P18" i="41" s="1"/>
  <c r="Q15" i="41" s="1"/>
  <c r="F5" i="16"/>
  <c r="G5" i="16" s="1"/>
  <c r="H5" i="16" s="1"/>
  <c r="G6" i="48" s="1"/>
  <c r="G65" i="48" s="1"/>
  <c r="J32" i="43"/>
  <c r="F23" i="53" l="1"/>
  <c r="G73" i="48"/>
  <c r="I14" i="53"/>
  <c r="I15" i="53"/>
  <c r="V13" i="41"/>
  <c r="S15" i="41"/>
  <c r="H13" i="16"/>
  <c r="J5" i="16"/>
  <c r="I6" i="48" s="1"/>
  <c r="I65" i="48" s="1"/>
  <c r="I73" i="48" s="1"/>
  <c r="G23" i="53" l="1"/>
  <c r="F31" i="53"/>
  <c r="G74" i="48"/>
  <c r="J13" i="16"/>
  <c r="S5" i="41"/>
  <c r="S170" i="41" s="1"/>
  <c r="G29" i="53" l="1"/>
  <c r="I23" i="53"/>
  <c r="G31" i="53"/>
  <c r="S174" i="41"/>
  <c r="I63" i="48"/>
  <c r="I72" i="48" s="1"/>
  <c r="T15" i="41"/>
  <c r="H74" i="48"/>
  <c r="T5" i="41"/>
  <c r="I29" i="53" l="1"/>
  <c r="I31" i="53"/>
  <c r="I74" i="48"/>
</calcChain>
</file>

<file path=xl/sharedStrings.xml><?xml version="1.0" encoding="utf-8"?>
<sst xmlns="http://schemas.openxmlformats.org/spreadsheetml/2006/main" count="2356" uniqueCount="322">
  <si>
    <t>Način odvajanja komunalne odpadne vode</t>
  </si>
  <si>
    <t>Ocenjeno št. PE, ki bo na ta način odvajalo komunalno odpadno vodo</t>
  </si>
  <si>
    <t>Št. in zmogljivost ČN</t>
  </si>
  <si>
    <t>(kos, PE)</t>
  </si>
  <si>
    <t>Ocenjena dolžina povezovalnih vodov</t>
  </si>
  <si>
    <t>(m)</t>
  </si>
  <si>
    <t>Ocenjena vrednost ČN</t>
  </si>
  <si>
    <t>(€)</t>
  </si>
  <si>
    <t>(€/m)</t>
  </si>
  <si>
    <t>Skupna vrednost investicije kanalizacije</t>
  </si>
  <si>
    <t>Število enot</t>
  </si>
  <si>
    <t>(kos)</t>
  </si>
  <si>
    <t>Ocenjena vrednost na enoto</t>
  </si>
  <si>
    <t>(€/kos)</t>
  </si>
  <si>
    <t>/</t>
  </si>
  <si>
    <t>Skupna vrednost investicije malih komunalnih čistilnih naprav</t>
  </si>
  <si>
    <t>5 PE</t>
  </si>
  <si>
    <t>10 PE</t>
  </si>
  <si>
    <t>20 PE</t>
  </si>
  <si>
    <t>Dolžina povezovalnih vodov</t>
  </si>
  <si>
    <t>Naselje</t>
  </si>
  <si>
    <t>Ocenjeno št. PE, ki bo v posameznem naselju na ta način odvajalo komunalno odpadno vodo</t>
  </si>
  <si>
    <t>Ime naselja</t>
  </si>
  <si>
    <t>Število PE skupaj</t>
  </si>
  <si>
    <t xml:space="preserve">Skupna vrednost obstoječe kanalizacije </t>
  </si>
  <si>
    <t>SKUPAJ</t>
  </si>
  <si>
    <t>Število prebivalcev s stalnim prebivališčem 
(vir podatka CRP)</t>
  </si>
  <si>
    <t>Število prebivalcev z začasnim prebivališčem 
(vir podatka CRP)</t>
  </si>
  <si>
    <t>Skupna vrednost investicije za območje naselja po načinu odvajanja</t>
  </si>
  <si>
    <t>tlačni vod</t>
  </si>
  <si>
    <t>gravitacijski vod</t>
  </si>
  <si>
    <t>Tip IČN</t>
  </si>
  <si>
    <t>Št. PE</t>
  </si>
  <si>
    <t>Obratovalni stroški za dobo 20 let</t>
  </si>
  <si>
    <t>Skupna vrednost investicije in obratovalnih stroškov za dobo 20 let</t>
  </si>
  <si>
    <t>Skupaj</t>
  </si>
  <si>
    <t>Ocenjena vrednost objektov in ostalih stroškov</t>
  </si>
  <si>
    <t>Število objektov</t>
  </si>
  <si>
    <t>Ocenjeno št. objektov, ki bo na ta način odvajalo komunalno odpadno vodo</t>
  </si>
  <si>
    <t>kos, (PE)</t>
  </si>
  <si>
    <t xml:space="preserve">Ocenjena dolžina priključnih  vodov </t>
  </si>
  <si>
    <t>opis (kos)</t>
  </si>
  <si>
    <t>Ocenjena vrednost gradnje tekočega metra kanalizacijskega  voda</t>
  </si>
  <si>
    <t>Ocenjena  vrednost kanalizacijskih vodov</t>
  </si>
  <si>
    <t>Ostali objekti in stroški na kanalizacijskemu omrežju</t>
  </si>
  <si>
    <t>Vrsta kanalizacijskega voda oz. objekta</t>
  </si>
  <si>
    <t>Vrsta terena v katerega se kanalizacijski vod vgrajuje</t>
  </si>
  <si>
    <t>neutrjeno</t>
  </si>
  <si>
    <t>deloma utrjeno</t>
  </si>
  <si>
    <t>utrjeno</t>
  </si>
  <si>
    <t>NETO</t>
  </si>
  <si>
    <t>BRUTO</t>
  </si>
  <si>
    <t>OPOMBE</t>
  </si>
  <si>
    <t>€/mesec</t>
  </si>
  <si>
    <t>Teren</t>
  </si>
  <si>
    <t>Gravitacijski vod</t>
  </si>
  <si>
    <t>Neutrjeno</t>
  </si>
  <si>
    <t>Deloma utrjeno</t>
  </si>
  <si>
    <t>Utrjeno</t>
  </si>
  <si>
    <t>Tlačni vod</t>
  </si>
  <si>
    <t>Črpališče</t>
  </si>
  <si>
    <t>STROŠKI INVESTICIJE - varianta D</t>
  </si>
  <si>
    <t>STROŠKI OBRATOVANJA - varianta D</t>
  </si>
  <si>
    <t>ČN z razpršeno biomaso (SBR)</t>
  </si>
  <si>
    <t>STROŠKI INVESTICIJE - varianta E</t>
  </si>
  <si>
    <t>STROŠKI OBRATOVANJA - varianta E</t>
  </si>
  <si>
    <t>Nepretočne greznice</t>
  </si>
  <si>
    <t>Ocenjena vrednost na enoto (cena izgradnje z DDV)</t>
  </si>
  <si>
    <t>A1</t>
  </si>
  <si>
    <t>Število objektov z dejansko obremenitvijo (več kot 0 PE)</t>
  </si>
  <si>
    <t>Objekti znotraj aglomeracij, ki so že priključeni na obstoječe javno kanalizacijsko omrežje, ali pa jim je priklop že omogočen.</t>
  </si>
  <si>
    <t>(€/m1)</t>
  </si>
  <si>
    <t>D3</t>
  </si>
  <si>
    <t>CENA REŠITVE NA PE</t>
  </si>
  <si>
    <t>€/PE</t>
  </si>
  <si>
    <t xml:space="preserve">Št. prebivalcev, ki se oskrbuje iz javnega vododvodnega sistema </t>
  </si>
  <si>
    <t>Količina prodane pitne vode gospodinjstvom in gospodarstvu</t>
  </si>
  <si>
    <t>DOLOČITEV POVPREČNE PORABE PITNE VODE NA PREBIVALCA</t>
  </si>
  <si>
    <t>STROŠKI OBRATOVANJA - varianta A</t>
  </si>
  <si>
    <t>INVESTICIJSKI STROŠKI</t>
  </si>
  <si>
    <t>OBRATOVALNI STROŠKI</t>
  </si>
  <si>
    <t>STROŠKI INVESTICIJE - varianti B in C</t>
  </si>
  <si>
    <t>Cena (€/m) - Občina</t>
  </si>
  <si>
    <t>Cena (€/m) - Zasebnik</t>
  </si>
  <si>
    <t xml:space="preserve">Vrsta kanalizacijskega voda </t>
  </si>
  <si>
    <t xml:space="preserve">Vrsta kanalizacijskega objekta </t>
  </si>
  <si>
    <t>Cena (€/kos) - Občina</t>
  </si>
  <si>
    <t>Cena (€/kos) - Zasebnik</t>
  </si>
  <si>
    <t xml:space="preserve">Vrsta IMKČN </t>
  </si>
  <si>
    <t xml:space="preserve">Vrsta NG </t>
  </si>
  <si>
    <t>Nepretočna greznica</t>
  </si>
  <si>
    <t>Vrsta SČN</t>
  </si>
  <si>
    <t>BRUTO - Zasebnik</t>
  </si>
  <si>
    <t xml:space="preserve">Cena (€/m3) </t>
  </si>
  <si>
    <t>Okoljska taksa za objekte ki so priključeni na ČN  ali imajo MKČN</t>
  </si>
  <si>
    <t>STROŠKI OBRATOVANJA - varianti B in C</t>
  </si>
  <si>
    <t xml:space="preserve">Povprečna letna poraba pitne vode na prebivalca (m3/leto/prebivalca) - uporabljeno za preračune </t>
  </si>
  <si>
    <t>Vrednosti modelirane skladno s spodnjim modelom, ki temelji na tržnih cenah nekaterih vrst SČN.</t>
  </si>
  <si>
    <t>5 PE (10 m3)</t>
  </si>
  <si>
    <t>10 PE (20 m3)</t>
  </si>
  <si>
    <t>€/leto</t>
  </si>
  <si>
    <t xml:space="preserve">Povprečna cena izgradnje tekočega metra voda </t>
  </si>
  <si>
    <t>Odvajanje in čiščenje komunalne odpadne vode</t>
  </si>
  <si>
    <t>Omrežnina za odvajanje in čiščenje komunalne odpadne vode (DN20)</t>
  </si>
  <si>
    <t>10% povezovalnih vodov</t>
  </si>
  <si>
    <t>nakup zemljišča za SBR</t>
  </si>
  <si>
    <t>A2</t>
  </si>
  <si>
    <t>Suho črpališče</t>
  </si>
  <si>
    <t>Mokro črpališče</t>
  </si>
  <si>
    <t>Podvrtavanje ceste ali vodotoka</t>
  </si>
  <si>
    <t>Fi 200</t>
  </si>
  <si>
    <t>Fi 300</t>
  </si>
  <si>
    <t>€/20 let</t>
  </si>
  <si>
    <t>ID_ZG</t>
  </si>
  <si>
    <t>podvrtavanje</t>
  </si>
  <si>
    <t>fi 200</t>
  </si>
  <si>
    <t>fi 300</t>
  </si>
  <si>
    <t>VARIANTA</t>
  </si>
  <si>
    <t>Št. prebivalcev</t>
  </si>
  <si>
    <t>Zemljišče za postavitev skupne čistilne naprave</t>
  </si>
  <si>
    <t>IMKČN z razpršeno biomaso (SBR)</t>
  </si>
  <si>
    <t>Varianta 4 – D1</t>
  </si>
  <si>
    <t>Varianta 5 – D2</t>
  </si>
  <si>
    <t>Varianta 6 – D3</t>
  </si>
  <si>
    <t>Varianta 8 – F</t>
  </si>
  <si>
    <t>Kmetije z možnostjo obdelave blata na gnojišču (ni potrebna sprememba obstoječega načina odvajanja in čiščenja).</t>
  </si>
  <si>
    <t>F</t>
  </si>
  <si>
    <t>Varianta 7 – E</t>
  </si>
  <si>
    <t>Skupna vrednost investicije nepretočnih greznic</t>
  </si>
  <si>
    <t xml:space="preserve">Nepretočna greznica </t>
  </si>
  <si>
    <t>Celotno naselje / Del naselja</t>
  </si>
  <si>
    <t>Izbrana varianta odvajanja in čiščenja komunalnih odpadnih voda</t>
  </si>
  <si>
    <t>Število populacijskih enot, ki se nahajajo v teh objektih</t>
  </si>
  <si>
    <t>Število objektov, ki jih posamezna varianta obravnava</t>
  </si>
  <si>
    <t>Skupna vrednost investicije v realizacijo izbrane variante</t>
  </si>
  <si>
    <t>Nosilec izvedbe izbrane variante</t>
  </si>
  <si>
    <t>Obrazložitev izbora</t>
  </si>
  <si>
    <t>Opombe</t>
  </si>
  <si>
    <t>SČN (PE 10)</t>
  </si>
  <si>
    <t>SČN (PE 75)</t>
  </si>
  <si>
    <t>D2</t>
  </si>
  <si>
    <t>D1</t>
  </si>
  <si>
    <t>E</t>
  </si>
  <si>
    <t>Del naselja</t>
  </si>
  <si>
    <t>Lastniki stavb</t>
  </si>
  <si>
    <t>Del večje investicije</t>
  </si>
  <si>
    <t>Že zgrajeno</t>
  </si>
  <si>
    <t>Obrazložitev 1</t>
  </si>
  <si>
    <t>Obrazložitev 2</t>
  </si>
  <si>
    <t>Obrazložitev 3</t>
  </si>
  <si>
    <t>Varianta 9 – X</t>
  </si>
  <si>
    <t>X</t>
  </si>
  <si>
    <t>Objekti, ki nimajo potrebe po odvajanju komunalne odpadne vode (npr. gospodarski, infrastrukturni objekti ter objekti v katerih komunalne odpadne vode ne nastajajo) ali ne obstajajo več.</t>
  </si>
  <si>
    <t>Opomba 2</t>
  </si>
  <si>
    <t>Vrednotenje različnih variantnih rešitev je pokazalo, da je za navedene objekte zakonsko dopustna, tehnično izvedljiva in ekonomsko upravičena varianta tista z odvajanjem in čiščenjem komunalne odpadne vode preko tipskih malih komunalnih čistilnih naprav.</t>
  </si>
  <si>
    <t>Opomba 1</t>
  </si>
  <si>
    <t>Skladno z 39. členom Uredbe o odvajanju in čiščenju komunalne odpadne vode (Ur. l. RS, št. 98/2015) mora biti aglomeracija s skupno obremenitvijo, manjšo od 500 PE, kjer se komunalna odpadna voda še ne odvaja v javno kanalizacijsko omrežje, opremljena z javnim kanalizacijskim omrežjem in komunalno čistilno napravo za čiščenje komunalne odpadne vode v skladu s četrtim odstavkom 10. člena te uredbe ali v skladu z drugim odstavkom 19. člena te uredbe najpozneje do 31. decembra 2023.</t>
  </si>
  <si>
    <t>Opomba 3</t>
  </si>
  <si>
    <t xml:space="preserve">Opozarjamo, da se objekti nahajajo znotraj območja aglomeracije nad 2000 PE, zaradi česar je rok za opremo objekta s tipsko komunalno čistilno napravo že potekel. </t>
  </si>
  <si>
    <t>Rok je že potekel</t>
  </si>
  <si>
    <t>1 CČN (4.000 PE)</t>
  </si>
  <si>
    <t>Dol pri Ljubljani</t>
  </si>
  <si>
    <t>Videm</t>
  </si>
  <si>
    <t>Beričevo</t>
  </si>
  <si>
    <t>Brinje</t>
  </si>
  <si>
    <t>Dolsko</t>
  </si>
  <si>
    <t>Kamnica</t>
  </si>
  <si>
    <t>Kleče pri Dolu</t>
  </si>
  <si>
    <t>Klopce</t>
  </si>
  <si>
    <t>Križevska vas</t>
  </si>
  <si>
    <t>Laze pri Dolskem</t>
  </si>
  <si>
    <t>Osredke</t>
  </si>
  <si>
    <t>Petelinje</t>
  </si>
  <si>
    <t>Podgora pri Dolskem</t>
  </si>
  <si>
    <t>Senožeti</t>
  </si>
  <si>
    <t>Vinje</t>
  </si>
  <si>
    <t>Vrh pri Dolskem</t>
  </si>
  <si>
    <t>Zaboršt pri Dolu</t>
  </si>
  <si>
    <t>Zagorica pri Dolskem</t>
  </si>
  <si>
    <t>Zajelše</t>
  </si>
  <si>
    <t>4164 - Brinje 2019</t>
  </si>
  <si>
    <t>4151 - Laze pri Dolskem 2019</t>
  </si>
  <si>
    <t>4160 - Senožeti 2019</t>
  </si>
  <si>
    <t>4156 - Zagorica pri Dolskem 2019</t>
  </si>
  <si>
    <t xml:space="preserve">NETO </t>
  </si>
  <si>
    <t>https://www.vokasnaga.si/sites/www.jhl.si/files/dokumenti/cenik_storitev_gospodarske_javne_sluzbe_oskrbe_s_pitno_vodo_ter_odvajanja_in_ciscenja_komunalne_in_padavinske_odpadne_vode_1_3_2023.pdf</t>
  </si>
  <si>
    <t>https://www.vokasnaga.si/sites/www.jhl.si/files/dokumenti/ead-301491_cenik_posebne_storitve_za_izredni_prevzem_blata_iz_obstojecih_pretocnih_greznic_in_malih_komnalnih_cistilnih_naprav_01_03_2020.pdf</t>
  </si>
  <si>
    <t>Povprečna letna poraba pitne vode na prebivalca, ki se s pitno vodo oskrbuje iz vodovodnih sistemov JKP…. d.o.o. (m3/leto/prebivalca)</t>
  </si>
  <si>
    <t>Okoljska taksa za objekte ki so priključeni na na nepretočno greznico</t>
  </si>
  <si>
    <t>https://www.vokasnaga.si/informacije/okoljska-dajatev</t>
  </si>
  <si>
    <t>https://pxweb.stat.si/SiStatData/pxweb/sl/Data/-/2700002S.px/table/tableViewLayout2/</t>
  </si>
  <si>
    <t>Kazalniki za vode, kohezijske in statistične regijah, Slovenija, letno</t>
  </si>
  <si>
    <t>https://www.uradni-list.si/1/objava.jsp?sop=2022-01-1398</t>
  </si>
  <si>
    <t>Objekti znotraj aglomeracij, katerim je potrebno dograditi sekundarno omrežje ali priključek, s čimer jim bo priklop na obstoječe javno kanalizacijsko omrežje omogočen</t>
  </si>
  <si>
    <t>ni podatka</t>
  </si>
  <si>
    <t xml:space="preserve">Skupna vrednost  kanalizacije </t>
  </si>
  <si>
    <t>črpališče</t>
  </si>
  <si>
    <t>250 PE</t>
  </si>
  <si>
    <t>30 PE</t>
  </si>
  <si>
    <t>50 PE</t>
  </si>
  <si>
    <t>75 PE</t>
  </si>
  <si>
    <t>200 PE</t>
  </si>
  <si>
    <t>Vseh 184 objektov priključenih na MKČN</t>
  </si>
  <si>
    <t>Vseh 184 objektov priključenih na kanalizacijo</t>
  </si>
  <si>
    <t>Varianta 2 – (B ali D) Aglomeracije Brinje, Dolsko, Kleče pri Dolu, Laze pri Dolskem, Podgora pri Dolskem, Senožeti, Vinje, Zaboršt pri Dolu in Zagorica na Dolskem</t>
  </si>
  <si>
    <t>SČN (1.000 PE)</t>
  </si>
  <si>
    <t>D</t>
  </si>
  <si>
    <t>SČN (2.500 PE)</t>
  </si>
  <si>
    <t>Kontrola:</t>
  </si>
  <si>
    <t xml:space="preserve">Kontrola: </t>
  </si>
  <si>
    <t>504 objektov priključenih na kanalizacijo in 74 objektov z MKČN</t>
  </si>
  <si>
    <t>SČN (250 PE)</t>
  </si>
  <si>
    <t>Vseh 67 objektov priključenih na MKČN</t>
  </si>
  <si>
    <t>Vseh 67 objektov priključenih na kanalizacijo</t>
  </si>
  <si>
    <t>SČN (200 PE)</t>
  </si>
  <si>
    <t>IMČN Laze pri Dolskem</t>
  </si>
  <si>
    <t>Novo javno kanalizacijsko omrežje Laze pri Dolskem -  B1</t>
  </si>
  <si>
    <t>Novo javno kanalizacijsko omrežje Zagorica pri Dolskem, Križna vas - B1</t>
  </si>
  <si>
    <t>Novo javno kanalizacijsko omrežje Zagorica pri Dolskem, Križna vas - B2</t>
  </si>
  <si>
    <t>IMČN 4156 - Zagorica pri Dolskem, Križna vas</t>
  </si>
  <si>
    <t>IMČN Zagorica pri Dolskem, Križna vas</t>
  </si>
  <si>
    <t>SČN (150 PE)</t>
  </si>
  <si>
    <t>IMČN Klopce</t>
  </si>
  <si>
    <t>IMČN Vrh pri Dolskem</t>
  </si>
  <si>
    <t>Novo javno kanalizacijsko omrežje Laze pri Dolskem -  B2</t>
  </si>
  <si>
    <t>IMČN Brinje, Beričevo</t>
  </si>
  <si>
    <t>IMČN Senožeti</t>
  </si>
  <si>
    <t>Novo javno kanalizacijsko omrežje Klopce - B</t>
  </si>
  <si>
    <t>Novo javno kanalizacijsko omrežje Vrh pri Dolskem -B</t>
  </si>
  <si>
    <t>SČN (100 PE)</t>
  </si>
  <si>
    <t>1x črpališče</t>
  </si>
  <si>
    <t>4 x črpališče in nakup zemljišča za SBR</t>
  </si>
  <si>
    <t>5 x črpališče in nakup zemljišča za SBR</t>
  </si>
  <si>
    <t>1 x črpališče in nakup zemljišča za SBR</t>
  </si>
  <si>
    <t>SČN (30 PE)</t>
  </si>
  <si>
    <t xml:space="preserve">IMČN </t>
  </si>
  <si>
    <t>Novo zasebno kanalizacijsko omrežje Osredek 1</t>
  </si>
  <si>
    <t>Novo zaseebno kanalizacijsko omrežje Osredek 2</t>
  </si>
  <si>
    <t>Občina Dol pri Ljubljani</t>
  </si>
  <si>
    <t>Ti objekti so skladno z veljavnimi registri (Register nepremičnin) vidjo kot vikendi oz. občasno nasljeni objekti. Tako predidene količine odpadne vode znotraj takšnih objektov ni mogoče določiti, saj je odvisna od dolžine bivanja in števila začasno bivajočih oseb. Za takšne objekte je bila izbrana rešitev odvajanja komunalne odpadne vode preko nepretočnih greznic z rednim praznenjem s strani pooblaščenega podjetja. Ker dopuščamo možnost, da se bodo ti objekti sčasoma spremenili v stanovanjske objekte oz. ker je možno, da se objekti zasedeni tokom celotnega leta predagamo, da lastniki objektov način odvajanja komunalne odpadne vode (individualne male komunalne čistilne naprave ali nepretočne greznice) izberejo sami. Ob tem predlagamo, da se predhodno posvetujejo s pristojnim javnim komunalnim podjetjem JAVNO PODJETJE VODOVOD KANALIZACIJA SNAGA d.o.o.</t>
  </si>
  <si>
    <t>Ker se ta dokument nanaša na že zgrajene objekte na območju Občine Dol pri Ljubljani, katerih večina je bila zgrajena pred letom 2002, zanje veljajo naslednji pogoji oz. roki:
• Ne glede na 21. člen Uredbe o odvajanju in čiščenju komunalne odpadne vode (Ur. l. RS, št. 98/2015) mora lastnik obstoječega objekta, za katerega je bilo izdano gradbeno dovoljenje v skladu s predpisi, ki urejajo graditev objektov, pred 14. decembrom 2002 ali, ki je bil v uporabi pred tem dnem, oziroma je obstoječa ureditev odvajanja in čiščenja komunalne odpadne vode skladna s predpisi, ki so veljali v času gradnje objekta, na območju, ki ni opremljeno z javno kanalizacijo, opremljenost z javno kanalizacijo ni predpisana in pogoji iz prve alineje prvega odstavka 21. člena te uredbe niso izpolnjeni, za komunalno odpadno vodo, ki nastaja v tem objektu, zagotoviti odvajanje in čiščenje v skladu s to uredbo najpozneje ob prvi rekonstrukciji objekta od uveljavitve te uredbe.
• Ne glede na 21. člen Uredbe o odvajanju in čiščenju komunalne odpadne vode (Ur. l. RS, št. 98/2015) mora lastnik obstoječega objekta, za katerega je bilo izdano gradbeno dovoljenje v skladu s predpisi, ki urejajo graditev objektov, pred 14. decembrom 2002 ali, ki je bil v uporabi pred tem dnem, na območju, ki ni opremljeno z javno kanalizacijo, opremljenost z javno kanalizacijo ni predpisana in pogoji iz prve alineje prvega odstavka 21. člena te uredbe niso izpolnjeni, komunalna odpadna voda pa se odvaja neposredno ali posredno v vode brez predhodnega čiščenja oziroma obstoječa ureditev odvajanja in čiščenja komunalne odpadne vode ni skladna s predpisi, ki so veljali v času gradnje objekta, za komunalno odpadno vodo, ki nastaja v tem objektu, zagotoviti odvajanje in čiščenje v skladu s to uredbo najpozneje do 31. decembra 2021.</t>
  </si>
  <si>
    <t>B2</t>
  </si>
  <si>
    <t>Varianta 1 – A1 in A2</t>
  </si>
  <si>
    <t>B1</t>
  </si>
  <si>
    <t>Novo javno kanalizacijsko omrežje Brinje, Beričevo - B1</t>
  </si>
  <si>
    <t>Vseh 578 objektov priključenih na kanalizacijo</t>
  </si>
  <si>
    <t>Vseh 578 objektov priključenih na MKČN</t>
  </si>
  <si>
    <t>39 objektov priključenih na kanalizacijo in 28 objektov z MKČN</t>
  </si>
  <si>
    <t>30 objektov priključenih na kanalizacijo in 18 objektov z MKČN</t>
  </si>
  <si>
    <t>Vseh 48 objektov priključenih na kanalizacijo</t>
  </si>
  <si>
    <t>Vseh 48 objektov priključenih na MKČN</t>
  </si>
  <si>
    <t>Vseh 27 objektov priključenih na kanalizacijo</t>
  </si>
  <si>
    <t>Vseh 27 objektov priključenih na MKČN</t>
  </si>
  <si>
    <t>Vseh 10 objektov priključenih na kanalizacijo</t>
  </si>
  <si>
    <t>Vseh 10 objektov priključenih na MKČN</t>
  </si>
  <si>
    <t>povprečna cena na tekoči meter iz popisa Kanalizacija za odpadne vode-sistem »OB«, območje južno od Zasavske ceste na relaciji Videm - Dol v občini Dol pri Ljubljani - KANALI M5-del, S5-del, M5a-del, S5a-del, M5b, S5b in M6-del</t>
  </si>
  <si>
    <t>Beričevo, Brinje</t>
  </si>
  <si>
    <t>Varianta 2 – D1</t>
  </si>
  <si>
    <t>Varianta 2 – D2</t>
  </si>
  <si>
    <t>Varianta 2 – D3</t>
  </si>
  <si>
    <t>D2 skupaj</t>
  </si>
  <si>
    <t>D1 skupaj</t>
  </si>
  <si>
    <t>D3 skupaj</t>
  </si>
  <si>
    <t>D1, D2, D3</t>
  </si>
  <si>
    <t xml:space="preserve">Objekti se nahajajo znotraj območja aglomeracje, kjer je Občina Dol pri Ljubljani dolžna zagotoviti odvajanje in čiščenje komunalne odpadne vod preko javnega kanalizacijskega sistema. Ker se je takšna možnost izkazala za ekonomsko neupravičeno je s tem operativnim programom predvideno, da bodo izvedbo in upravljanje individualnih malih komunalnih čistilnih naprav za navedene objekte prevzeli lastniki objektov. </t>
  </si>
  <si>
    <t>Novo javno kanalizacijsko omrežje Senožeti - B1</t>
  </si>
  <si>
    <t>Novo javno kanalizacijsko omrežje Senožeti - B2</t>
  </si>
  <si>
    <t>3 x SČN
(500 PE, 
400 PE,
200 PE)</t>
  </si>
  <si>
    <t>3x nakup zemljišča za SBR</t>
  </si>
  <si>
    <t>Vseh 247 objektov priključenih na kanalizacijo</t>
  </si>
  <si>
    <t>237 objektov priključenih na kanalizacijo, 10 objektov priključenih na MKČN</t>
  </si>
  <si>
    <t>Vseh 247 objektov priključenih na MKČN</t>
  </si>
  <si>
    <t>SČN 
(2.000 PE) 
(dodatnih 500 PE iz naslova novih večjih objektov)</t>
  </si>
  <si>
    <t>Novo javno kanalizacijsko omrežje Dolsko, Petelinje, Kamnica, Vinje, Osredek - B2</t>
  </si>
  <si>
    <t>Dolsko, Petelinje, Kamnica, Vinje, Osredek</t>
  </si>
  <si>
    <t xml:space="preserve">Senožeti </t>
  </si>
  <si>
    <t>Izbrana varianta odvajanja in čiščenja komunalne odpadne vode</t>
  </si>
  <si>
    <t>Izbrana pod-varianta odvajanja in čiščenja komunalne odpadne vode</t>
  </si>
  <si>
    <t>Št. objektov</t>
  </si>
  <si>
    <t>Vrednost investicij po pod-varianti</t>
  </si>
  <si>
    <t>Vrednost investicij po varianti</t>
  </si>
  <si>
    <t xml:space="preserve">Vrednost stroškov obratovanja in vzdrževanja za dobo 20 let </t>
  </si>
  <si>
    <t>VARIANTA A
obstoječe javno kanalizacijsko omrežje</t>
  </si>
  <si>
    <t>Pod-varianta A1: 
Objekti znotraj aglomeracij, ki so že priključeni na obstoječe javno kanalizacijsko omrežje, ali pa jim je priklop že omogočen.</t>
  </si>
  <si>
    <t>VARIANTA B
načrtovano javno kanalizacijsko omrežje  na območju aglomeracij</t>
  </si>
  <si>
    <t>Varianta B</t>
  </si>
  <si>
    <t>VARIANTA C
možno kanalizacijsko omrežje</t>
  </si>
  <si>
    <t>Varianta C</t>
  </si>
  <si>
    <t>VARIANTA D
individualne male čistilne naprave</t>
  </si>
  <si>
    <t>Pod-varianta D1: 
(Objekti z obstoječimi individualnimi malimi čistilnimi napravami)</t>
  </si>
  <si>
    <t>Pod-varianta D2:
(Objekti znotraj aglomeracij ali v njihovem obrobju, katere bi bilo v skladu z veljavno zakonodajo še potrebno priključiti na obstoječe javno kanalizacijsko omrežje, a je to tehnično neizvedljivo ali ekonomsko neupravičeno)</t>
  </si>
  <si>
    <t>Pod-varianta D3: 
(Objekti s predvidenii individualnimi malimi čistilnimi napravami)</t>
  </si>
  <si>
    <t>VARIANTA E
nepretočne greznice</t>
  </si>
  <si>
    <t>Varianta E</t>
  </si>
  <si>
    <t>Varianta F
kmetija z gnojiščem</t>
  </si>
  <si>
    <t>Varianta F</t>
  </si>
  <si>
    <t>Varianta X</t>
  </si>
  <si>
    <t>Pod-varianta A3:
Objekti na meji aglomeracij ali v njihovem obrobju, katere bi bilo v skladu z veljavno zakonodajo še potrebno priključiti na obstoječe javno kanalizacijsko omrežje in je to tehnično izvedljivo in ekonomsko upravičeno.</t>
  </si>
  <si>
    <t>VARIANTA C
možno kanalizacijsko omrežje ali zasebno kanalizacijsko omrežje</t>
  </si>
  <si>
    <t>ZASEBNE INVESTICIJE lastnikov na območju občine Dol pri Ljubljani</t>
  </si>
  <si>
    <t xml:space="preserve">Cena (€/storitev,
€/m3) </t>
  </si>
  <si>
    <t>Prevzem blata iz obstoječih greznic</t>
  </si>
  <si>
    <t>Varianta 3 – (C ali D)</t>
  </si>
  <si>
    <t>SUM</t>
  </si>
  <si>
    <t>1ČN (250 PE)</t>
  </si>
  <si>
    <t>Podgora pri Dolsekm</t>
  </si>
  <si>
    <t>Novo javno kanalizacijsko omrežje Dol pri Ljubljani, Kleče pri Dolu, Dolsko, Petelinje, Kamnica, Vinje, Osredek - B1</t>
  </si>
  <si>
    <t>4140 - Vinje 2019, 4142 - Dolsko 2019, 4168 - Kleče pri Dolu 2019 (tudi nekaj objektov izven aglomreracij)</t>
  </si>
  <si>
    <t>IMČN Dol pri Ljubljani, Kleče pri Dolu, Dolsko, Petelinje, Kamnica, Vinje, Osredek</t>
  </si>
  <si>
    <t>Ob prvi rekonstrukciji objekta</t>
  </si>
  <si>
    <t>Opozarjamo, da se določeni objekti v naseljih Dolsko, Kamnica, Klopce, Križevska vas, Petelinje, Podgora pri Dolskem, Vinje, Vrh pri Dolskem in Zagorica pri Dolskem uvrščajo v 2. in 3. vodovarstveni pas vodovarstvenega območja vodnih virov pitne vode na območju občine Dol pri Ljubljani (Odlok o varstvu virov pitne vode na območju občine Dol pri Ljubljani (Uradni list RS, št. 82/01), zaradi česar morajo lastniki v procesu sprejemanja odločitev upoštevati tudi določila tega odloka.</t>
  </si>
  <si>
    <t>Opomba 4</t>
  </si>
  <si>
    <t>Opomba 1,
Opomba 4</t>
  </si>
  <si>
    <t>Opomba 2,
Opomba 4</t>
  </si>
  <si>
    <t>Opomba 5</t>
  </si>
  <si>
    <t>Opomba 4,
Opomba 5</t>
  </si>
  <si>
    <t>Opomba 1,
Opomba 4,
Opomba 5</t>
  </si>
  <si>
    <t>Opomba 1,
Opomba 5</t>
  </si>
  <si>
    <t xml:space="preserve">Pri varianti B2 je v aglomeraciji Dolsko in Vinje (naselja Dolsko, Kamnica, Osrede, Petelinje in Vinje) upoštevanih dodatnih 500 PE iz naslova novih večjih objektov. </t>
  </si>
  <si>
    <t>Klemen popravi opis A2</t>
  </si>
  <si>
    <t>Predpisani rok za izvedbo izbrane variante</t>
  </si>
  <si>
    <t>Pod-varianta A2:
Objekti znotraj aglomeracij, katerim je potrebno dograditi sekundarno omrežje ali priključek, s čimer jim bo priklop na obstoječe javno kanalizacijsko omrežje (JKO) omogočen.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</si>
</sst>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0"/>
    <numFmt numFmtId="165" formatCode="#,##0.000"/>
    <numFmt numFmtId="166" formatCode="_-* #,##0.00\ [$€-424]_-;\-* #,##0.00\ [$€-424]_-;_-* &quot;-&quot;??\ [$€-424]_-;_-@_-"/>
  </numFmts>
  <fonts count="34" x14ac:knownFonts="1">
    <font>
      <sz val="11"/>
      <color theme="1"/>
      <name val="Calibri"/>
      <family val="2"/>
      <charset val="238"/>
      <scheme val="minor"/>
    </font>
    <font>
      <sz val="10"/>
      <color indexed="8"/>
      <name val="Arial Narrow"/>
      <family val="2"/>
      <charset val="238"/>
    </font>
    <font>
      <sz val="10"/>
      <name val="Arial Narrow"/>
      <family val="2"/>
      <charset val="238"/>
    </font>
    <font>
      <b/>
      <sz val="10"/>
      <color indexed="8"/>
      <name val="Arial Narrow"/>
      <family val="2"/>
      <charset val="238"/>
    </font>
    <font>
      <sz val="11"/>
      <color indexed="8"/>
      <name val="Arial Narrow"/>
      <family val="2"/>
      <charset val="238"/>
    </font>
    <font>
      <sz val="8"/>
      <name val="Calibri"/>
      <family val="2"/>
      <charset val="238"/>
    </font>
    <font>
      <b/>
      <sz val="11"/>
      <color indexed="8"/>
      <name val="Arial Narrow"/>
      <family val="2"/>
      <charset val="238"/>
    </font>
    <font>
      <sz val="10"/>
      <color theme="1"/>
      <name val="Arial Narrow"/>
      <family val="2"/>
      <charset val="238"/>
    </font>
    <font>
      <sz val="11"/>
      <color theme="1"/>
      <name val="Arial Narrow"/>
      <family val="2"/>
      <charset val="238"/>
    </font>
    <font>
      <sz val="10"/>
      <color rgb="FF000000"/>
      <name val="Arial Narrow"/>
      <family val="2"/>
      <charset val="238"/>
    </font>
    <font>
      <b/>
      <sz val="11"/>
      <color theme="1"/>
      <name val="Arial Narrow"/>
      <family val="2"/>
      <charset val="238"/>
    </font>
    <font>
      <b/>
      <sz val="10"/>
      <color theme="1"/>
      <name val="Arial Narrow"/>
      <family val="2"/>
      <charset val="238"/>
    </font>
    <font>
      <sz val="11"/>
      <color rgb="FF006100"/>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8"/>
      <name val="Calibri"/>
      <family val="2"/>
      <charset val="238"/>
      <scheme val="minor"/>
    </font>
    <font>
      <u/>
      <sz val="10"/>
      <color theme="10"/>
      <name val="Arial Narrow"/>
      <family val="2"/>
      <charset val="238"/>
    </font>
    <font>
      <b/>
      <sz val="10"/>
      <color rgb="FF000000"/>
      <name val="Arial Narrow"/>
      <family val="2"/>
      <charset val="238"/>
    </font>
    <font>
      <b/>
      <sz val="10"/>
      <name val="Arial Narrow"/>
      <family val="2"/>
      <charset val="238"/>
    </font>
  </fonts>
  <fills count="52">
    <fill>
      <patternFill patternType="none"/>
    </fill>
    <fill>
      <patternFill patternType="gray125"/>
    </fill>
    <fill>
      <patternFill patternType="solid">
        <fgColor indexed="55"/>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BFBFBF"/>
        <bgColor indexed="64"/>
      </patternFill>
    </fill>
  </fills>
  <borders count="6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bottom/>
      <diagonal/>
    </border>
    <border>
      <left style="thin">
        <color rgb="FF999999"/>
      </left>
      <right/>
      <top style="thin">
        <color rgb="FF999999"/>
      </top>
      <bottom style="medium">
        <color indexed="64"/>
      </bottom>
      <diagonal/>
    </border>
    <border>
      <left/>
      <right style="thin">
        <color rgb="FF999999"/>
      </right>
      <top style="thin">
        <color rgb="FF999999"/>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2" fillId="16" borderId="0" applyNumberFormat="0" applyBorder="0" applyAlignment="0" applyProtection="0"/>
    <xf numFmtId="0" fontId="14" fillId="0" borderId="0" applyNumberFormat="0" applyFill="0" applyBorder="0" applyAlignment="0" applyProtection="0"/>
    <xf numFmtId="0" fontId="15" fillId="0" borderId="37" applyNumberFormat="0" applyFill="0" applyAlignment="0" applyProtection="0"/>
    <xf numFmtId="0" fontId="16" fillId="0" borderId="38" applyNumberFormat="0" applyFill="0" applyAlignment="0" applyProtection="0"/>
    <xf numFmtId="0" fontId="17" fillId="0" borderId="39"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19" fillId="18" borderId="0" applyNumberFormat="0" applyBorder="0" applyAlignment="0" applyProtection="0"/>
    <xf numFmtId="0" fontId="20" fillId="19" borderId="40" applyNumberFormat="0" applyAlignment="0" applyProtection="0"/>
    <xf numFmtId="0" fontId="21" fillId="20" borderId="41" applyNumberFormat="0" applyAlignment="0" applyProtection="0"/>
    <xf numFmtId="0" fontId="22" fillId="20" borderId="40" applyNumberFormat="0" applyAlignment="0" applyProtection="0"/>
    <xf numFmtId="0" fontId="23" fillId="0" borderId="42" applyNumberFormat="0" applyFill="0" applyAlignment="0" applyProtection="0"/>
    <xf numFmtId="0" fontId="24" fillId="21" borderId="43" applyNumberFormat="0" applyAlignment="0" applyProtection="0"/>
    <xf numFmtId="0" fontId="25" fillId="0" borderId="0" applyNumberFormat="0" applyFill="0" applyBorder="0" applyAlignment="0" applyProtection="0"/>
    <xf numFmtId="0" fontId="13" fillId="22" borderId="44" applyNumberFormat="0" applyFont="0" applyAlignment="0" applyProtection="0"/>
    <xf numFmtId="0" fontId="26" fillId="0" borderId="0" applyNumberFormat="0" applyFill="0" applyBorder="0" applyAlignment="0" applyProtection="0"/>
    <xf numFmtId="0" fontId="27" fillId="0" borderId="45" applyNumberFormat="0" applyFill="0" applyAlignment="0" applyProtection="0"/>
    <xf numFmtId="0" fontId="28"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28" fillId="46" borderId="0" applyNumberFormat="0" applyBorder="0" applyAlignment="0" applyProtection="0"/>
    <xf numFmtId="0" fontId="29" fillId="0" borderId="0" applyNumberFormat="0" applyFill="0" applyBorder="0" applyAlignment="0" applyProtection="0"/>
    <xf numFmtId="44" fontId="13" fillId="0" borderId="0" applyFont="0" applyFill="0" applyBorder="0" applyAlignment="0" applyProtection="0"/>
  </cellStyleXfs>
  <cellXfs count="441">
    <xf numFmtId="0" fontId="0" fillId="0" borderId="0" xfId="0"/>
    <xf numFmtId="0" fontId="1" fillId="0" borderId="0" xfId="0" applyFont="1" applyAlignment="1">
      <alignment wrapText="1"/>
    </xf>
    <xf numFmtId="0" fontId="2" fillId="2" borderId="2" xfId="0" applyFont="1" applyFill="1" applyBorder="1" applyAlignment="1">
      <alignment horizontal="center" vertical="center" wrapText="1"/>
    </xf>
    <xf numFmtId="4" fontId="3" fillId="0" borderId="4" xfId="0" applyNumberFormat="1" applyFont="1" applyBorder="1" applyAlignment="1">
      <alignment wrapText="1"/>
    </xf>
    <xf numFmtId="0" fontId="1" fillId="0" borderId="5" xfId="0" applyFont="1" applyBorder="1" applyAlignment="1">
      <alignment horizontal="center" vertical="center" wrapText="1"/>
    </xf>
    <xf numFmtId="4" fontId="2" fillId="0" borderId="5" xfId="0" applyNumberFormat="1" applyFont="1" applyBorder="1" applyAlignment="1">
      <alignment horizontal="right" vertical="center" wrapText="1"/>
    </xf>
    <xf numFmtId="0" fontId="4" fillId="0" borderId="0" xfId="0" applyFont="1" applyAlignment="1">
      <alignment horizontal="center" vertical="center" wrapText="1"/>
    </xf>
    <xf numFmtId="0" fontId="1" fillId="0" borderId="5" xfId="0" applyFont="1" applyBorder="1" applyAlignment="1">
      <alignment vertical="center" wrapText="1"/>
    </xf>
    <xf numFmtId="0" fontId="7" fillId="0" borderId="5" xfId="0" applyFont="1" applyBorder="1" applyAlignment="1">
      <alignment vertical="center"/>
    </xf>
    <xf numFmtId="4" fontId="1" fillId="0" borderId="0" xfId="0" applyNumberFormat="1" applyFont="1" applyAlignment="1">
      <alignment wrapText="1"/>
    </xf>
    <xf numFmtId="4" fontId="1" fillId="0" borderId="5" xfId="0" applyNumberFormat="1" applyFont="1" applyBorder="1" applyAlignment="1">
      <alignment vertical="center" wrapText="1"/>
    </xf>
    <xf numFmtId="0" fontId="8" fillId="0" borderId="0" xfId="0" applyFont="1"/>
    <xf numFmtId="0" fontId="8" fillId="0" borderId="5" xfId="0" applyFont="1" applyBorder="1"/>
    <xf numFmtId="4" fontId="8" fillId="0" borderId="0" xfId="0" applyNumberFormat="1" applyFont="1"/>
    <xf numFmtId="1" fontId="7" fillId="0" borderId="5" xfId="0" applyNumberFormat="1" applyFont="1" applyBorder="1" applyAlignment="1">
      <alignment vertical="center"/>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Alignment="1">
      <alignment horizontal="center" vertical="center" wrapText="1"/>
    </xf>
    <xf numFmtId="0" fontId="8" fillId="0" borderId="5" xfId="0" applyFont="1" applyBorder="1" applyAlignment="1">
      <alignment horizontal="justify" vertical="center"/>
    </xf>
    <xf numFmtId="164" fontId="8" fillId="0" borderId="5" xfId="0" applyNumberFormat="1" applyFont="1" applyBorder="1"/>
    <xf numFmtId="0" fontId="8" fillId="0" borderId="5" xfId="0" applyFont="1" applyBorder="1" applyAlignment="1">
      <alignment horizontal="center" vertical="center"/>
    </xf>
    <xf numFmtId="0" fontId="8" fillId="0" borderId="5" xfId="0" applyFont="1" applyBorder="1" applyAlignment="1">
      <alignment vertical="center" wrapText="1"/>
    </xf>
    <xf numFmtId="0" fontId="1" fillId="0" borderId="11" xfId="0" applyFont="1" applyBorder="1" applyAlignment="1">
      <alignment horizontal="center" vertical="center" wrapText="1"/>
    </xf>
    <xf numFmtId="4" fontId="2" fillId="0" borderId="11" xfId="0" applyNumberFormat="1" applyFont="1" applyBorder="1" applyAlignment="1">
      <alignment horizontal="right" vertical="center" wrapText="1"/>
    </xf>
    <xf numFmtId="0" fontId="1" fillId="0" borderId="0" xfId="0" applyFont="1" applyAlignment="1">
      <alignment vertical="center" wrapText="1"/>
    </xf>
    <xf numFmtId="0" fontId="1" fillId="0" borderId="11" xfId="0" applyFont="1" applyBorder="1" applyAlignment="1">
      <alignment vertical="center" wrapText="1"/>
    </xf>
    <xf numFmtId="0" fontId="8" fillId="0" borderId="0" xfId="0" applyFont="1" applyAlignment="1">
      <alignment vertical="center"/>
    </xf>
    <xf numFmtId="1" fontId="8" fillId="0" borderId="0" xfId="0" applyNumberFormat="1" applyFont="1" applyAlignment="1">
      <alignment vertical="center"/>
    </xf>
    <xf numFmtId="164" fontId="8" fillId="0" borderId="0" xfId="0" applyNumberFormat="1" applyFont="1"/>
    <xf numFmtId="4" fontId="1" fillId="0" borderId="0" xfId="0" applyNumberFormat="1" applyFont="1" applyAlignment="1">
      <alignment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4" fontId="1" fillId="0" borderId="5"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8" fillId="0" borderId="5" xfId="0" applyFont="1" applyBorder="1" applyAlignment="1">
      <alignment horizontal="center"/>
    </xf>
    <xf numFmtId="0" fontId="8" fillId="11" borderId="5" xfId="0" applyFont="1" applyFill="1" applyBorder="1"/>
    <xf numFmtId="0" fontId="8" fillId="11" borderId="5" xfId="0" applyFont="1" applyFill="1" applyBorder="1" applyAlignment="1">
      <alignment horizontal="center" vertical="center"/>
    </xf>
    <xf numFmtId="164" fontId="8" fillId="11" borderId="5" xfId="0" applyNumberFormat="1" applyFont="1" applyFill="1" applyBorder="1"/>
    <xf numFmtId="4" fontId="8" fillId="11" borderId="5" xfId="0" applyNumberFormat="1" applyFont="1" applyFill="1" applyBorder="1"/>
    <xf numFmtId="0" fontId="8" fillId="12" borderId="5" xfId="0" applyFont="1" applyFill="1" applyBorder="1"/>
    <xf numFmtId="0" fontId="10" fillId="11" borderId="5" xfId="0" applyFont="1" applyFill="1" applyBorder="1" applyAlignment="1">
      <alignment horizontal="center"/>
    </xf>
    <xf numFmtId="0" fontId="8" fillId="11" borderId="5" xfId="0" applyFont="1" applyFill="1" applyBorder="1" applyAlignment="1">
      <alignment horizontal="center"/>
    </xf>
    <xf numFmtId="0" fontId="8" fillId="0" borderId="5" xfId="0" applyFont="1" applyBorder="1" applyAlignment="1">
      <alignment horizontal="center" vertical="center" wrapText="1"/>
    </xf>
    <xf numFmtId="0" fontId="10" fillId="11" borderId="5" xfId="0" applyFont="1" applyFill="1" applyBorder="1" applyAlignment="1">
      <alignment horizontal="center" vertical="center"/>
    </xf>
    <xf numFmtId="0" fontId="8" fillId="11" borderId="5" xfId="0" applyFont="1" applyFill="1" applyBorder="1" applyAlignment="1">
      <alignment horizontal="center" vertical="center" wrapText="1"/>
    </xf>
    <xf numFmtId="4" fontId="8" fillId="0" borderId="5" xfId="0" applyNumberFormat="1" applyFont="1" applyBorder="1" applyAlignment="1">
      <alignment vertical="center"/>
    </xf>
    <xf numFmtId="4" fontId="8" fillId="11" borderId="5" xfId="0" applyNumberFormat="1" applyFont="1" applyFill="1" applyBorder="1" applyAlignment="1">
      <alignment vertical="center"/>
    </xf>
    <xf numFmtId="4" fontId="8" fillId="0" borderId="5" xfId="0" applyNumberFormat="1" applyFont="1" applyBorder="1" applyAlignment="1">
      <alignment horizontal="right" vertical="center"/>
    </xf>
    <xf numFmtId="4" fontId="8" fillId="11" borderId="5" xfId="0" applyNumberFormat="1" applyFont="1" applyFill="1" applyBorder="1" applyAlignment="1">
      <alignment horizontal="right" vertical="center"/>
    </xf>
    <xf numFmtId="0" fontId="8" fillId="13" borderId="5" xfId="0" applyFont="1" applyFill="1" applyBorder="1" applyAlignment="1">
      <alignment horizontal="left" vertical="center"/>
    </xf>
    <xf numFmtId="0" fontId="8" fillId="13" borderId="5" xfId="0" applyFont="1" applyFill="1" applyBorder="1" applyAlignment="1">
      <alignment horizontal="left" vertical="center" wrapText="1"/>
    </xf>
    <xf numFmtId="0" fontId="10" fillId="0" borderId="5" xfId="0" applyFont="1" applyBorder="1" applyAlignment="1">
      <alignment vertical="center"/>
    </xf>
    <xf numFmtId="0" fontId="8" fillId="0" borderId="5" xfId="0" applyFont="1" applyBorder="1" applyAlignment="1">
      <alignment horizontal="left" vertical="center"/>
    </xf>
    <xf numFmtId="0" fontId="8" fillId="10" borderId="5" xfId="0" applyFont="1" applyFill="1" applyBorder="1" applyAlignment="1">
      <alignment vertical="center" wrapText="1"/>
    </xf>
    <xf numFmtId="0" fontId="8" fillId="10" borderId="5" xfId="0" applyFont="1" applyFill="1" applyBorder="1" applyAlignment="1">
      <alignment horizontal="center" vertical="center" wrapText="1"/>
    </xf>
    <xf numFmtId="4" fontId="8" fillId="10" borderId="5" xfId="0" applyNumberFormat="1" applyFont="1" applyFill="1" applyBorder="1" applyAlignment="1">
      <alignment horizontal="center" vertical="center"/>
    </xf>
    <xf numFmtId="0" fontId="8" fillId="12" borderId="5" xfId="0" applyFont="1" applyFill="1" applyBorder="1" applyAlignment="1">
      <alignment horizontal="left" vertical="center"/>
    </xf>
    <xf numFmtId="4" fontId="8" fillId="12" borderId="5" xfId="0" applyNumberFormat="1" applyFont="1" applyFill="1" applyBorder="1" applyAlignment="1">
      <alignment vertical="center"/>
    </xf>
    <xf numFmtId="0" fontId="10" fillId="11" borderId="5" xfId="0" applyFont="1" applyFill="1" applyBorder="1"/>
    <xf numFmtId="4" fontId="8" fillId="12" borderId="5" xfId="0" applyNumberFormat="1" applyFont="1" applyFill="1" applyBorder="1"/>
    <xf numFmtId="0" fontId="8" fillId="12" borderId="5" xfId="0" applyFont="1" applyFill="1" applyBorder="1" applyAlignment="1">
      <alignment horizontal="center" vertical="center"/>
    </xf>
    <xf numFmtId="0" fontId="8" fillId="12" borderId="5" xfId="0" applyFont="1" applyFill="1" applyBorder="1" applyAlignment="1">
      <alignment horizontal="center" vertical="center" wrapText="1"/>
    </xf>
    <xf numFmtId="0" fontId="10" fillId="12" borderId="5" xfId="0" applyFont="1" applyFill="1" applyBorder="1" applyAlignment="1">
      <alignment horizontal="center" vertical="center"/>
    </xf>
    <xf numFmtId="2" fontId="8" fillId="11" borderId="5" xfId="0" applyNumberFormat="1" applyFont="1" applyFill="1" applyBorder="1"/>
    <xf numFmtId="0" fontId="8" fillId="0" borderId="28" xfId="0" applyFont="1" applyBorder="1" applyAlignment="1">
      <alignment vertical="center"/>
    </xf>
    <xf numFmtId="0" fontId="8" fillId="0" borderId="29" xfId="0" applyFont="1" applyBorder="1" applyAlignment="1">
      <alignment vertical="center"/>
    </xf>
    <xf numFmtId="0" fontId="8" fillId="0" borderId="7" xfId="0" applyFont="1" applyBorder="1" applyAlignment="1">
      <alignment vertical="center"/>
    </xf>
    <xf numFmtId="4" fontId="1" fillId="0" borderId="3" xfId="0" applyNumberFormat="1" applyFont="1" applyBorder="1" applyAlignment="1">
      <alignment vertical="center" wrapText="1"/>
    </xf>
    <xf numFmtId="4" fontId="1" fillId="0" borderId="11" xfId="0" applyNumberFormat="1" applyFont="1" applyBorder="1" applyAlignment="1">
      <alignment vertical="center" wrapText="1"/>
    </xf>
    <xf numFmtId="4" fontId="1" fillId="0" borderId="12" xfId="0" applyNumberFormat="1" applyFont="1" applyBorder="1" applyAlignment="1">
      <alignment vertical="center" wrapText="1"/>
    </xf>
    <xf numFmtId="4" fontId="2" fillId="0" borderId="11" xfId="0" applyNumberFormat="1" applyFont="1" applyBorder="1" applyAlignment="1">
      <alignment vertical="center" wrapText="1"/>
    </xf>
    <xf numFmtId="4" fontId="3" fillId="0" borderId="5" xfId="0" applyNumberFormat="1" applyFont="1" applyBorder="1" applyAlignment="1">
      <alignment horizontal="right" vertical="center" wrapText="1"/>
    </xf>
    <xf numFmtId="0" fontId="3" fillId="4" borderId="31" xfId="0" applyFont="1" applyFill="1" applyBorder="1" applyAlignment="1">
      <alignment horizontal="center" vertical="center" wrapText="1"/>
    </xf>
    <xf numFmtId="4" fontId="2" fillId="0" borderId="5" xfId="0" applyNumberFormat="1" applyFont="1" applyBorder="1" applyAlignment="1">
      <alignment vertical="center" wrapText="1"/>
    </xf>
    <xf numFmtId="1" fontId="1" fillId="0" borderId="0" xfId="0" applyNumberFormat="1" applyFont="1" applyAlignment="1">
      <alignment wrapText="1"/>
    </xf>
    <xf numFmtId="164" fontId="8" fillId="0" borderId="5" xfId="0" applyNumberFormat="1" applyFont="1" applyBorder="1" applyAlignment="1">
      <alignment vertical="center"/>
    </xf>
    <xf numFmtId="0" fontId="2" fillId="7" borderId="36" xfId="0" applyFont="1" applyFill="1" applyBorder="1" applyAlignment="1">
      <alignment horizontal="center" vertical="center" wrapText="1"/>
    </xf>
    <xf numFmtId="0" fontId="10" fillId="0" borderId="5" xfId="0" applyFont="1" applyBorder="1" applyAlignment="1">
      <alignment horizontal="center" vertical="center"/>
    </xf>
    <xf numFmtId="4" fontId="8" fillId="10" borderId="5" xfId="0" applyNumberFormat="1" applyFont="1" applyFill="1" applyBorder="1" applyAlignment="1">
      <alignment horizontal="left" vertical="center" wrapText="1"/>
    </xf>
    <xf numFmtId="0" fontId="8" fillId="0" borderId="28" xfId="0" applyFont="1" applyBorder="1" applyAlignment="1">
      <alignment horizontal="justify" vertical="center"/>
    </xf>
    <xf numFmtId="164" fontId="8" fillId="11" borderId="7" xfId="0" applyNumberFormat="1" applyFont="1" applyFill="1" applyBorder="1"/>
    <xf numFmtId="0" fontId="8" fillId="0" borderId="0" xfId="0" applyFont="1" applyAlignment="1">
      <alignment wrapText="1"/>
    </xf>
    <xf numFmtId="0" fontId="29" fillId="0" borderId="13" xfId="42" applyBorder="1" applyAlignment="1"/>
    <xf numFmtId="0" fontId="8" fillId="0" borderId="25" xfId="0" applyFont="1" applyBorder="1"/>
    <xf numFmtId="0" fontId="8" fillId="0" borderId="9" xfId="0" applyFont="1" applyBorder="1"/>
    <xf numFmtId="0" fontId="8" fillId="0" borderId="13" xfId="0" applyFont="1" applyBorder="1"/>
    <xf numFmtId="164" fontId="8" fillId="0" borderId="5" xfId="0" applyNumberFormat="1" applyFont="1" applyBorder="1" applyAlignment="1">
      <alignment horizontal="right"/>
    </xf>
    <xf numFmtId="2" fontId="8" fillId="0" borderId="5" xfId="0" applyNumberFormat="1" applyFont="1" applyBorder="1" applyAlignment="1">
      <alignment horizontal="right"/>
    </xf>
    <xf numFmtId="0" fontId="1" fillId="0" borderId="5" xfId="0" applyFont="1" applyBorder="1" applyAlignment="1">
      <alignment wrapText="1"/>
    </xf>
    <xf numFmtId="4" fontId="1" fillId="5" borderId="5" xfId="0" applyNumberFormat="1" applyFont="1" applyFill="1" applyBorder="1" applyAlignment="1">
      <alignment wrapText="1"/>
    </xf>
    <xf numFmtId="1" fontId="1" fillId="5" borderId="5" xfId="0" applyNumberFormat="1" applyFont="1" applyFill="1" applyBorder="1" applyAlignment="1">
      <alignment wrapText="1"/>
    </xf>
    <xf numFmtId="0" fontId="1" fillId="5" borderId="5" xfId="0" applyFont="1" applyFill="1" applyBorder="1" applyAlignment="1">
      <alignment wrapText="1"/>
    </xf>
    <xf numFmtId="0" fontId="2" fillId="0" borderId="5" xfId="0" applyFont="1" applyBorder="1" applyAlignment="1">
      <alignment horizontal="center" vertical="center"/>
    </xf>
    <xf numFmtId="0" fontId="2" fillId="2"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4" borderId="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8" fillId="0" borderId="6" xfId="0" applyFont="1" applyBorder="1"/>
    <xf numFmtId="0" fontId="8" fillId="0" borderId="3" xfId="0" applyFont="1" applyBorder="1" applyAlignment="1">
      <alignment horizontal="center"/>
    </xf>
    <xf numFmtId="0" fontId="3" fillId="4" borderId="5" xfId="0"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2" fillId="2" borderId="9" xfId="0" applyFont="1" applyFill="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3" fillId="0" borderId="5" xfId="0" applyNumberFormat="1" applyFont="1" applyBorder="1" applyAlignment="1">
      <alignment vertical="center" wrapText="1"/>
    </xf>
    <xf numFmtId="4" fontId="3" fillId="0" borderId="11" xfId="0" applyNumberFormat="1" applyFont="1" applyBorder="1" applyAlignment="1">
      <alignment vertical="center" wrapText="1"/>
    </xf>
    <xf numFmtId="4" fontId="3" fillId="0" borderId="3" xfId="0" applyNumberFormat="1" applyFont="1" applyBorder="1" applyAlignment="1">
      <alignment vertical="center" wrapText="1"/>
    </xf>
    <xf numFmtId="4" fontId="3" fillId="0" borderId="12" xfId="0" applyNumberFormat="1"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4" fontId="1" fillId="0" borderId="13" xfId="0" applyNumberFormat="1" applyFont="1" applyBorder="1" applyAlignment="1">
      <alignment vertical="center" wrapText="1"/>
    </xf>
    <xf numFmtId="0" fontId="2" fillId="2" borderId="5" xfId="0" applyFont="1" applyFill="1" applyBorder="1" applyAlignment="1">
      <alignment horizontal="center" vertical="center" wrapText="1"/>
    </xf>
    <xf numFmtId="4" fontId="3" fillId="0" borderId="11" xfId="0" applyNumberFormat="1" applyFont="1" applyBorder="1" applyAlignment="1">
      <alignment horizontal="center" vertical="center" wrapText="1"/>
    </xf>
    <xf numFmtId="0" fontId="7" fillId="0" borderId="1" xfId="0" applyFont="1" applyBorder="1" applyAlignment="1">
      <alignment vertical="center"/>
    </xf>
    <xf numFmtId="4" fontId="1" fillId="0" borderId="11" xfId="0" applyNumberFormat="1" applyFont="1" applyBorder="1" applyAlignment="1">
      <alignment horizontal="center" vertical="center" wrapText="1"/>
    </xf>
    <xf numFmtId="4" fontId="1" fillId="0" borderId="0" xfId="0" applyNumberFormat="1" applyFont="1" applyAlignment="1">
      <alignment horizontal="center" vertical="center" wrapText="1"/>
    </xf>
    <xf numFmtId="0" fontId="1" fillId="15" borderId="31"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right" vertical="center"/>
    </xf>
    <xf numFmtId="4" fontId="3" fillId="0" borderId="12" xfId="0"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xf numFmtId="4" fontId="7" fillId="0" borderId="5" xfId="0" applyNumberFormat="1" applyFont="1" applyBorder="1" applyAlignment="1">
      <alignment horizontal="right" vertical="center"/>
    </xf>
    <xf numFmtId="0" fontId="7" fillId="0" borderId="0" xfId="0" applyFont="1" applyAlignment="1">
      <alignment horizontal="left"/>
    </xf>
    <xf numFmtId="0" fontId="7" fillId="0" borderId="0" xfId="0" applyFont="1" applyAlignment="1">
      <alignment horizontal="left" vertical="center"/>
    </xf>
    <xf numFmtId="4" fontId="7" fillId="0" borderId="0" xfId="0" applyNumberFormat="1" applyFont="1"/>
    <xf numFmtId="4" fontId="1" fillId="0" borderId="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1" fillId="15" borderId="5" xfId="0" applyNumberFormat="1" applyFont="1" applyFill="1" applyBorder="1" applyAlignment="1">
      <alignment horizontal="center" vertical="center" wrapText="1"/>
    </xf>
    <xf numFmtId="4" fontId="7" fillId="15" borderId="5" xfId="0" applyNumberFormat="1" applyFont="1" applyFill="1" applyBorder="1"/>
    <xf numFmtId="0" fontId="1" fillId="15" borderId="5" xfId="0" applyFont="1" applyFill="1" applyBorder="1" applyAlignment="1">
      <alignment wrapText="1"/>
    </xf>
    <xf numFmtId="0" fontId="7" fillId="15" borderId="28" xfId="0" applyFont="1" applyFill="1" applyBorder="1" applyAlignment="1">
      <alignment horizontal="center" vertical="center"/>
    </xf>
    <xf numFmtId="0" fontId="6" fillId="15" borderId="46" xfId="0" applyFont="1" applyFill="1" applyBorder="1" applyAlignment="1">
      <alignment horizontal="left" vertical="center" wrapText="1"/>
    </xf>
    <xf numFmtId="0" fontId="6" fillId="15" borderId="47" xfId="0" applyFont="1" applyFill="1" applyBorder="1" applyAlignment="1">
      <alignment horizontal="center" vertical="center" wrapText="1"/>
    </xf>
    <xf numFmtId="0" fontId="6" fillId="15" borderId="48" xfId="0" applyFont="1" applyFill="1" applyBorder="1" applyAlignment="1">
      <alignment horizontal="center" vertical="center" wrapText="1"/>
    </xf>
    <xf numFmtId="0" fontId="1" fillId="15" borderId="5" xfId="0" applyFont="1" applyFill="1" applyBorder="1" applyAlignment="1">
      <alignment vertical="center" wrapText="1"/>
    </xf>
    <xf numFmtId="4" fontId="7" fillId="0" borderId="5" xfId="0" applyNumberFormat="1" applyFont="1" applyBorder="1" applyAlignment="1">
      <alignment vertical="center"/>
    </xf>
    <xf numFmtId="14" fontId="7" fillId="0" borderId="5" xfId="0" applyNumberFormat="1" applyFont="1" applyBorder="1" applyAlignment="1">
      <alignment horizontal="center" vertical="center"/>
    </xf>
    <xf numFmtId="0" fontId="7" fillId="5" borderId="5" xfId="0" applyFont="1" applyFill="1" applyBorder="1" applyAlignment="1">
      <alignment horizontal="left" vertical="center"/>
    </xf>
    <xf numFmtId="4" fontId="2"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 fontId="1" fillId="15" borderId="5" xfId="0" applyNumberFormat="1" applyFont="1" applyFill="1" applyBorder="1" applyAlignment="1">
      <alignment vertical="center" wrapText="1"/>
    </xf>
    <xf numFmtId="4" fontId="1" fillId="0" borderId="5" xfId="0" applyNumberFormat="1" applyFont="1" applyBorder="1" applyAlignment="1">
      <alignment wrapText="1"/>
    </xf>
    <xf numFmtId="164" fontId="8" fillId="12" borderId="5" xfId="0" applyNumberFormat="1" applyFont="1" applyFill="1" applyBorder="1"/>
    <xf numFmtId="0" fontId="29" fillId="0" borderId="53" xfId="42" applyBorder="1" applyAlignment="1">
      <alignment vertical="center" wrapText="1"/>
    </xf>
    <xf numFmtId="0" fontId="29" fillId="0" borderId="0" xfId="42"/>
    <xf numFmtId="4" fontId="1" fillId="0" borderId="1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9" fillId="0" borderId="53" xfId="42" applyBorder="1" applyAlignment="1">
      <alignment wrapText="1"/>
    </xf>
    <xf numFmtId="0" fontId="29" fillId="0" borderId="0" xfId="42" applyAlignment="1">
      <alignment horizontal="left"/>
    </xf>
    <xf numFmtId="0" fontId="29" fillId="0" borderId="53" xfId="42" applyBorder="1" applyAlignment="1">
      <alignment horizontal="left"/>
    </xf>
    <xf numFmtId="0" fontId="8" fillId="0" borderId="0" xfId="0" applyFont="1" applyAlignment="1">
      <alignment horizontal="left"/>
    </xf>
    <xf numFmtId="165" fontId="8" fillId="11" borderId="5" xfId="0" applyNumberFormat="1" applyFont="1" applyFill="1" applyBorder="1"/>
    <xf numFmtId="164" fontId="8" fillId="11" borderId="5" xfId="0" applyNumberFormat="1" applyFont="1" applyFill="1" applyBorder="1" applyAlignment="1">
      <alignment vertical="center"/>
    </xf>
    <xf numFmtId="4" fontId="1" fillId="0" borderId="1" xfId="0" applyNumberFormat="1" applyFont="1" applyBorder="1" applyAlignment="1">
      <alignment horizontal="right" vertical="center" wrapText="1"/>
    </xf>
    <xf numFmtId="0" fontId="7" fillId="15" borderId="5" xfId="0" applyFont="1" applyFill="1" applyBorder="1" applyAlignment="1">
      <alignment horizontal="center" vertical="center" wrapText="1"/>
    </xf>
    <xf numFmtId="4" fontId="1" fillId="0" borderId="1" xfId="0" applyNumberFormat="1" applyFont="1" applyBorder="1" applyAlignment="1">
      <alignment vertical="center" wrapText="1"/>
    </xf>
    <xf numFmtId="1" fontId="7" fillId="0" borderId="5" xfId="0" applyNumberFormat="1" applyFont="1" applyBorder="1" applyAlignment="1">
      <alignment horizontal="center" vertical="center"/>
    </xf>
    <xf numFmtId="0" fontId="1" fillId="0" borderId="8" xfId="0" applyFont="1" applyBorder="1" applyAlignment="1">
      <alignment horizontal="center" vertical="center" wrapText="1"/>
    </xf>
    <xf numFmtId="4" fontId="3" fillId="0" borderId="1" xfId="0" applyNumberFormat="1" applyFont="1" applyBorder="1" applyAlignment="1">
      <alignment horizontal="right" vertical="center" wrapText="1"/>
    </xf>
    <xf numFmtId="1" fontId="7" fillId="0" borderId="1" xfId="0" applyNumberFormat="1" applyFont="1" applyBorder="1" applyAlignment="1">
      <alignment horizontal="center" vertical="center"/>
    </xf>
    <xf numFmtId="0" fontId="1" fillId="0" borderId="1" xfId="0" applyFont="1" applyBorder="1" applyAlignment="1">
      <alignment horizontal="right" vertical="center" wrapText="1"/>
    </xf>
    <xf numFmtId="4" fontId="3" fillId="0" borderId="1" xfId="0" applyNumberFormat="1" applyFont="1" applyBorder="1" applyAlignment="1">
      <alignment vertical="center" wrapText="1"/>
    </xf>
    <xf numFmtId="4" fontId="3" fillId="5" borderId="5" xfId="0" applyNumberFormat="1" applyFont="1" applyFill="1" applyBorder="1" applyAlignment="1">
      <alignment wrapText="1"/>
    </xf>
    <xf numFmtId="0" fontId="8" fillId="0" borderId="13" xfId="0" applyFont="1" applyBorder="1" applyAlignment="1">
      <alignment vertical="center" wrapText="1"/>
    </xf>
    <xf numFmtId="0" fontId="8" fillId="0" borderId="25" xfId="0" applyFont="1" applyBorder="1" applyAlignment="1">
      <alignment vertical="center" wrapText="1"/>
    </xf>
    <xf numFmtId="0" fontId="8" fillId="0" borderId="9" xfId="0" applyFont="1" applyBorder="1" applyAlignment="1">
      <alignment vertical="center" wrapText="1"/>
    </xf>
    <xf numFmtId="2" fontId="8" fillId="0" borderId="0" xfId="0" applyNumberFormat="1" applyFont="1"/>
    <xf numFmtId="3" fontId="1" fillId="5" borderId="5" xfId="0" applyNumberFormat="1" applyFont="1" applyFill="1" applyBorder="1" applyAlignment="1">
      <alignment wrapText="1"/>
    </xf>
    <xf numFmtId="0" fontId="0" fillId="0" borderId="60" xfId="0" applyBorder="1"/>
    <xf numFmtId="0" fontId="0" fillId="0" borderId="61" xfId="0" applyBorder="1"/>
    <xf numFmtId="4" fontId="2" fillId="2" borderId="13" xfId="0" applyNumberFormat="1" applyFont="1" applyFill="1" applyBorder="1" applyAlignment="1">
      <alignment horizontal="center" vertical="center" wrapText="1"/>
    </xf>
    <xf numFmtId="4" fontId="2" fillId="2" borderId="16"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horizontal="right" vertical="center" wrapText="1"/>
    </xf>
    <xf numFmtId="4" fontId="1" fillId="0" borderId="2" xfId="0" applyNumberFormat="1" applyFont="1" applyBorder="1" applyAlignment="1">
      <alignment vertical="center" wrapText="1"/>
    </xf>
    <xf numFmtId="0" fontId="3" fillId="5" borderId="5" xfId="0" applyFont="1" applyFill="1" applyBorder="1" applyAlignment="1">
      <alignment wrapText="1"/>
    </xf>
    <xf numFmtId="0" fontId="3" fillId="5" borderId="5" xfId="0" applyFont="1" applyFill="1" applyBorder="1" applyAlignment="1">
      <alignment vertical="center" wrapText="1"/>
    </xf>
    <xf numFmtId="4" fontId="3" fillId="5" borderId="5" xfId="0" applyNumberFormat="1" applyFont="1" applyFill="1" applyBorder="1" applyAlignment="1">
      <alignment vertical="center" wrapText="1"/>
    </xf>
    <xf numFmtId="0" fontId="2" fillId="0" borderId="10" xfId="0" applyFont="1" applyBorder="1" applyAlignment="1">
      <alignment horizontal="center" vertical="center"/>
    </xf>
    <xf numFmtId="0" fontId="31" fillId="0" borderId="0" xfId="42" applyFont="1" applyAlignment="1">
      <alignment vertical="center"/>
    </xf>
    <xf numFmtId="4" fontId="1" fillId="5" borderId="7" xfId="0" applyNumberFormat="1" applyFont="1" applyFill="1" applyBorder="1" applyAlignment="1">
      <alignment wrapText="1"/>
    </xf>
    <xf numFmtId="3" fontId="1" fillId="0" borderId="0" xfId="0" applyNumberFormat="1" applyFont="1" applyAlignment="1">
      <alignment wrapText="1"/>
    </xf>
    <xf numFmtId="1" fontId="7" fillId="0" borderId="1" xfId="0" applyNumberFormat="1" applyFont="1" applyBorder="1" applyAlignment="1">
      <alignment vertical="center"/>
    </xf>
    <xf numFmtId="0" fontId="1" fillId="5" borderId="5" xfId="0" applyFont="1" applyFill="1" applyBorder="1"/>
    <xf numFmtId="0" fontId="1" fillId="13" borderId="5" xfId="0" applyFont="1" applyFill="1" applyBorder="1" applyAlignment="1">
      <alignment vertical="center" wrapText="1"/>
    </xf>
    <xf numFmtId="0" fontId="1" fillId="13" borderId="5" xfId="0" applyFont="1" applyFill="1" applyBorder="1"/>
    <xf numFmtId="0" fontId="1" fillId="13" borderId="5" xfId="0" applyFont="1" applyFill="1" applyBorder="1" applyAlignment="1">
      <alignment wrapText="1"/>
    </xf>
    <xf numFmtId="0" fontId="1" fillId="47" borderId="5" xfId="0" applyFont="1" applyFill="1" applyBorder="1" applyAlignment="1">
      <alignment vertical="center" wrapText="1"/>
    </xf>
    <xf numFmtId="0" fontId="1" fillId="47" borderId="5" xfId="0" applyFont="1" applyFill="1" applyBorder="1" applyAlignment="1">
      <alignment wrapText="1"/>
    </xf>
    <xf numFmtId="4" fontId="2" fillId="13" borderId="5" xfId="0" applyNumberFormat="1" applyFont="1" applyFill="1" applyBorder="1" applyAlignment="1">
      <alignment horizontal="right" vertical="center" wrapText="1"/>
    </xf>
    <xf numFmtId="0" fontId="3" fillId="48" borderId="5" xfId="0" applyFont="1" applyFill="1" applyBorder="1" applyAlignment="1">
      <alignment wrapText="1"/>
    </xf>
    <xf numFmtId="0" fontId="3" fillId="48" borderId="5" xfId="0" applyFont="1" applyFill="1" applyBorder="1" applyAlignment="1">
      <alignment vertical="center" wrapText="1"/>
    </xf>
    <xf numFmtId="4" fontId="3" fillId="48" borderId="5" xfId="0" applyNumberFormat="1" applyFont="1" applyFill="1" applyBorder="1" applyAlignment="1">
      <alignment vertical="center" wrapText="1"/>
    </xf>
    <xf numFmtId="4" fontId="1" fillId="47" borderId="5" xfId="0" applyNumberFormat="1" applyFont="1" applyFill="1" applyBorder="1" applyAlignment="1">
      <alignment vertical="center" wrapText="1"/>
    </xf>
    <xf numFmtId="0" fontId="1" fillId="48" borderId="5" xfId="0" applyFont="1" applyFill="1" applyBorder="1" applyAlignment="1">
      <alignment wrapText="1"/>
    </xf>
    <xf numFmtId="0" fontId="3" fillId="49" borderId="5" xfId="0" applyFont="1" applyFill="1" applyBorder="1" applyAlignment="1">
      <alignment vertical="center" wrapText="1"/>
    </xf>
    <xf numFmtId="0" fontId="3" fillId="49" borderId="5" xfId="0" applyFont="1" applyFill="1" applyBorder="1" applyAlignment="1">
      <alignment wrapText="1"/>
    </xf>
    <xf numFmtId="0" fontId="3" fillId="50" borderId="5" xfId="0" applyFont="1" applyFill="1" applyBorder="1" applyAlignment="1">
      <alignment wrapText="1"/>
    </xf>
    <xf numFmtId="0" fontId="1" fillId="50" borderId="5" xfId="0" applyFont="1" applyFill="1" applyBorder="1" applyAlignment="1">
      <alignment wrapText="1"/>
    </xf>
    <xf numFmtId="4" fontId="3" fillId="50" borderId="5" xfId="0" applyNumberFormat="1" applyFont="1" applyFill="1" applyBorder="1" applyAlignment="1">
      <alignment vertical="center" wrapText="1"/>
    </xf>
    <xf numFmtId="4" fontId="3" fillId="49" borderId="0" xfId="0" applyNumberFormat="1" applyFont="1" applyFill="1" applyAlignment="1">
      <alignment horizontal="right" vertical="center" wrapText="1"/>
    </xf>
    <xf numFmtId="4" fontId="3" fillId="48" borderId="0" xfId="0" applyNumberFormat="1" applyFont="1" applyFill="1" applyAlignment="1">
      <alignment horizontal="right" vertical="center" wrapText="1"/>
    </xf>
    <xf numFmtId="3" fontId="11" fillId="5" borderId="5" xfId="0" applyNumberFormat="1" applyFont="1" applyFill="1" applyBorder="1"/>
    <xf numFmtId="4" fontId="11" fillId="5" borderId="5" xfId="0" applyNumberFormat="1" applyFont="1" applyFill="1" applyBorder="1"/>
    <xf numFmtId="3" fontId="7" fillId="15" borderId="5" xfId="0" applyNumberFormat="1" applyFont="1" applyFill="1" applyBorder="1"/>
    <xf numFmtId="0" fontId="7" fillId="47" borderId="28" xfId="0" applyFont="1" applyFill="1" applyBorder="1" applyAlignment="1">
      <alignment horizontal="center" vertical="center"/>
    </xf>
    <xf numFmtId="3" fontId="7" fillId="47" borderId="5" xfId="0" applyNumberFormat="1" applyFont="1" applyFill="1" applyBorder="1"/>
    <xf numFmtId="4" fontId="7" fillId="47" borderId="5" xfId="0" applyNumberFormat="1" applyFont="1" applyFill="1" applyBorder="1"/>
    <xf numFmtId="4" fontId="1" fillId="47" borderId="5" xfId="0" applyNumberFormat="1" applyFont="1" applyFill="1" applyBorder="1" applyAlignment="1">
      <alignment horizontal="center" vertical="center" wrapText="1"/>
    </xf>
    <xf numFmtId="4" fontId="29" fillId="0" borderId="53" xfId="42" applyNumberFormat="1" applyBorder="1" applyAlignment="1">
      <alignment vertical="center" wrapText="1"/>
    </xf>
    <xf numFmtId="0" fontId="1" fillId="5" borderId="5" xfId="0" applyFont="1" applyFill="1" applyBorder="1" applyAlignment="1">
      <alignment horizontal="center" vertical="center" wrapText="1"/>
    </xf>
    <xf numFmtId="4" fontId="2" fillId="0" borderId="13" xfId="0" applyNumberFormat="1" applyFont="1" applyBorder="1" applyAlignment="1">
      <alignment horizontal="right" vertical="center" wrapText="1"/>
    </xf>
    <xf numFmtId="0" fontId="32" fillId="51" borderId="5" xfId="0" applyFont="1" applyFill="1" applyBorder="1" applyAlignment="1">
      <alignment horizontal="center" vertical="center" wrapText="1"/>
    </xf>
    <xf numFmtId="0" fontId="32" fillId="0" borderId="13" xfId="0" applyFont="1" applyBorder="1" applyAlignment="1">
      <alignment horizontal="center" vertical="center" wrapText="1"/>
    </xf>
    <xf numFmtId="0" fontId="9" fillId="0" borderId="5" xfId="0" applyFont="1" applyBorder="1" applyAlignment="1">
      <alignment horizontal="center" vertical="center" wrapText="1"/>
    </xf>
    <xf numFmtId="4" fontId="9" fillId="0" borderId="5" xfId="0" applyNumberFormat="1" applyFont="1" applyBorder="1" applyAlignment="1">
      <alignment vertical="center" wrapText="1"/>
    </xf>
    <xf numFmtId="166" fontId="7" fillId="0" borderId="5" xfId="0" applyNumberFormat="1" applyFont="1" applyBorder="1" applyAlignment="1">
      <alignment horizontal="right" vertical="center" wrapText="1"/>
    </xf>
    <xf numFmtId="0" fontId="32" fillId="0" borderId="5" xfId="0" applyFont="1" applyBorder="1" applyAlignment="1">
      <alignment horizontal="center" vertical="center" wrapText="1"/>
    </xf>
    <xf numFmtId="4" fontId="9" fillId="0" borderId="5" xfId="0" applyNumberFormat="1" applyFont="1" applyBorder="1" applyAlignment="1">
      <alignment horizontal="right" vertical="center" wrapText="1"/>
    </xf>
    <xf numFmtId="166" fontId="11" fillId="0" borderId="5" xfId="0" applyNumberFormat="1" applyFont="1" applyBorder="1" applyAlignment="1">
      <alignment horizontal="right" vertical="center" wrapText="1"/>
    </xf>
    <xf numFmtId="166" fontId="9" fillId="0" borderId="5" xfId="0" applyNumberFormat="1" applyFont="1" applyBorder="1" applyAlignment="1">
      <alignment horizontal="right" vertical="center" wrapText="1"/>
    </xf>
    <xf numFmtId="166" fontId="11" fillId="0" borderId="9" xfId="0" applyNumberFormat="1" applyFont="1" applyBorder="1" applyAlignment="1">
      <alignment horizontal="right"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2" fontId="7" fillId="0" borderId="5" xfId="0" applyNumberFormat="1" applyFont="1" applyBorder="1" applyAlignment="1">
      <alignment horizontal="right" vertical="center" wrapText="1"/>
    </xf>
    <xf numFmtId="166" fontId="9" fillId="0" borderId="5" xfId="43" applyNumberFormat="1" applyFont="1" applyFill="1" applyBorder="1" applyAlignment="1">
      <alignment horizontal="right" vertical="center" wrapText="1"/>
    </xf>
    <xf numFmtId="166" fontId="9" fillId="0" borderId="5" xfId="43" applyNumberFormat="1" applyFont="1" applyBorder="1" applyAlignment="1">
      <alignment horizontal="right" vertical="center" wrapText="1"/>
    </xf>
    <xf numFmtId="166" fontId="11" fillId="0" borderId="9" xfId="43" applyNumberFormat="1" applyFont="1" applyBorder="1" applyAlignment="1">
      <alignment horizontal="right" vertical="center" wrapText="1"/>
    </xf>
    <xf numFmtId="166" fontId="7" fillId="0" borderId="5" xfId="43" applyNumberFormat="1" applyFont="1" applyBorder="1" applyAlignment="1">
      <alignment horizontal="right" vertical="center" wrapText="1"/>
    </xf>
    <xf numFmtId="166" fontId="11" fillId="0" borderId="5" xfId="43" applyNumberFormat="1" applyFont="1" applyBorder="1" applyAlignment="1">
      <alignment horizontal="right" vertical="center" wrapText="1"/>
    </xf>
    <xf numFmtId="166" fontId="11" fillId="0" borderId="5" xfId="43" applyNumberFormat="1" applyFont="1" applyFill="1" applyBorder="1" applyAlignment="1">
      <alignment horizontal="right" vertical="center" wrapText="1"/>
    </xf>
    <xf numFmtId="3" fontId="9" fillId="0" borderId="5" xfId="0" applyNumberFormat="1" applyFont="1" applyBorder="1" applyAlignment="1">
      <alignment vertical="center" wrapText="1"/>
    </xf>
    <xf numFmtId="3" fontId="9" fillId="0" borderId="5" xfId="0" applyNumberFormat="1" applyFont="1" applyBorder="1" applyAlignment="1">
      <alignment horizontal="right" vertical="center" wrapText="1"/>
    </xf>
    <xf numFmtId="166" fontId="7" fillId="0" borderId="0" xfId="0" applyNumberFormat="1" applyFont="1"/>
    <xf numFmtId="166" fontId="33" fillId="16" borderId="5" xfId="1" applyNumberFormat="1" applyFont="1" applyBorder="1" applyAlignment="1">
      <alignment horizontal="right"/>
    </xf>
    <xf numFmtId="0" fontId="11" fillId="0" borderId="30" xfId="0" applyFont="1" applyBorder="1" applyAlignment="1">
      <alignment horizontal="center"/>
    </xf>
    <xf numFmtId="2" fontId="11" fillId="0" borderId="30" xfId="0" applyNumberFormat="1" applyFont="1" applyBorder="1" applyAlignment="1">
      <alignment horizontal="center"/>
    </xf>
    <xf numFmtId="3" fontId="11" fillId="0" borderId="30" xfId="0" applyNumberFormat="1" applyFont="1" applyBorder="1" applyAlignment="1">
      <alignment horizontal="center"/>
    </xf>
    <xf numFmtId="4" fontId="11" fillId="0" borderId="30" xfId="0" applyNumberFormat="1" applyFont="1" applyBorder="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3" fontId="11" fillId="0" borderId="0" xfId="0" applyNumberFormat="1" applyFont="1" applyAlignment="1">
      <alignment horizontal="center"/>
    </xf>
    <xf numFmtId="4" fontId="32" fillId="0" borderId="0" xfId="0" applyNumberFormat="1" applyFont="1" applyAlignment="1">
      <alignment horizontal="right"/>
    </xf>
    <xf numFmtId="3" fontId="8" fillId="10" borderId="5" xfId="0" applyNumberFormat="1" applyFont="1" applyFill="1" applyBorder="1" applyAlignment="1">
      <alignment horizontal="right" vertical="center"/>
    </xf>
    <xf numFmtId="4" fontId="1" fillId="15" borderId="5" xfId="0" applyNumberFormat="1" applyFont="1" applyFill="1" applyBorder="1" applyAlignment="1">
      <alignment wrapText="1"/>
    </xf>
    <xf numFmtId="0" fontId="7" fillId="0" borderId="13" xfId="0" applyFont="1" applyBorder="1" applyAlignment="1">
      <alignment vertical="center"/>
    </xf>
    <xf numFmtId="1" fontId="7" fillId="0" borderId="13" xfId="0" applyNumberFormat="1" applyFont="1" applyBorder="1" applyAlignment="1">
      <alignment vertical="center"/>
    </xf>
    <xf numFmtId="4" fontId="1" fillId="0" borderId="13"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6" xfId="0" applyNumberFormat="1" applyFont="1" applyBorder="1" applyAlignment="1">
      <alignment horizontal="right" vertical="center" wrapText="1"/>
    </xf>
    <xf numFmtId="0" fontId="1" fillId="0" borderId="11" xfId="0" applyFont="1" applyBorder="1" applyAlignment="1">
      <alignment horizontal="left" vertical="center" wrapText="1"/>
    </xf>
    <xf numFmtId="1" fontId="7" fillId="0" borderId="11" xfId="0" applyNumberFormat="1" applyFont="1" applyBorder="1" applyAlignment="1">
      <alignment horizontal="right" vertical="center"/>
    </xf>
    <xf numFmtId="0" fontId="1" fillId="0" borderId="9"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5" xfId="0" applyFont="1" applyBorder="1"/>
    <xf numFmtId="0" fontId="7" fillId="6" borderId="0" xfId="0" applyFont="1" applyFill="1" applyAlignment="1">
      <alignment horizontal="center" vertical="center"/>
    </xf>
    <xf numFmtId="0" fontId="8" fillId="6" borderId="13" xfId="0" applyFont="1" applyFill="1" applyBorder="1" applyAlignment="1">
      <alignment horizontal="center" wrapText="1"/>
    </xf>
    <xf numFmtId="0" fontId="8" fillId="6" borderId="25" xfId="0" applyFont="1" applyFill="1" applyBorder="1" applyAlignment="1">
      <alignment horizontal="center" wrapText="1"/>
    </xf>
    <xf numFmtId="0" fontId="8" fillId="6" borderId="9" xfId="0" applyFont="1" applyFill="1" applyBorder="1" applyAlignment="1">
      <alignment horizontal="center" wrapText="1"/>
    </xf>
    <xf numFmtId="0" fontId="8" fillId="10" borderId="13" xfId="0" applyFont="1" applyFill="1" applyBorder="1" applyAlignment="1">
      <alignment horizontal="center" vertical="center" wrapText="1"/>
    </xf>
    <xf numFmtId="0" fontId="8" fillId="10" borderId="9" xfId="0" applyFont="1" applyFill="1" applyBorder="1" applyAlignment="1">
      <alignment horizontal="center" vertical="center" wrapText="1"/>
    </xf>
    <xf numFmtId="4" fontId="8" fillId="10" borderId="13" xfId="0" applyNumberFormat="1" applyFont="1" applyFill="1" applyBorder="1" applyAlignment="1">
      <alignment horizontal="center" vertical="center" wrapText="1"/>
    </xf>
    <xf numFmtId="4" fontId="8" fillId="10" borderId="9" xfId="0" applyNumberFormat="1" applyFont="1" applyFill="1" applyBorder="1" applyAlignment="1">
      <alignment horizontal="center" vertical="center" wrapText="1"/>
    </xf>
    <xf numFmtId="0" fontId="10" fillId="11" borderId="5" xfId="0" applyFont="1" applyFill="1" applyBorder="1" applyAlignment="1">
      <alignment horizontal="center"/>
    </xf>
    <xf numFmtId="0" fontId="10" fillId="12" borderId="54" xfId="0" applyFont="1" applyFill="1" applyBorder="1" applyAlignment="1">
      <alignment horizontal="center" vertical="center" wrapText="1"/>
    </xf>
    <xf numFmtId="0" fontId="10" fillId="12" borderId="59" xfId="0" applyFont="1" applyFill="1" applyBorder="1" applyAlignment="1">
      <alignment horizontal="center" vertical="center" wrapText="1"/>
    </xf>
    <xf numFmtId="0" fontId="10" fillId="12" borderId="55" xfId="0" applyFont="1" applyFill="1" applyBorder="1" applyAlignment="1">
      <alignment horizontal="center" vertical="center" wrapText="1"/>
    </xf>
    <xf numFmtId="0" fontId="8" fillId="0" borderId="5" xfId="0" applyFont="1" applyBorder="1" applyAlignment="1">
      <alignment horizontal="center" vertical="center" wrapText="1"/>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8" fillId="0" borderId="28" xfId="0" applyNumberFormat="1" applyFont="1" applyBorder="1" applyAlignment="1">
      <alignment horizontal="right" vertical="center"/>
    </xf>
    <xf numFmtId="3" fontId="8" fillId="0" borderId="29" xfId="0" applyNumberFormat="1" applyFont="1" applyBorder="1" applyAlignment="1">
      <alignment horizontal="right" vertical="center"/>
    </xf>
    <xf numFmtId="4" fontId="8" fillId="0" borderId="28" xfId="0" applyNumberFormat="1" applyFont="1" applyBorder="1" applyAlignment="1">
      <alignment horizontal="right" vertical="center"/>
    </xf>
    <xf numFmtId="4" fontId="8" fillId="0" borderId="29" xfId="0" applyNumberFormat="1" applyFont="1" applyBorder="1" applyAlignment="1">
      <alignment horizontal="right" vertical="center"/>
    </xf>
    <xf numFmtId="0" fontId="8" fillId="0" borderId="0" xfId="0" applyFont="1" applyAlignment="1">
      <alignment horizontal="center" vertical="center" wrapText="1"/>
    </xf>
    <xf numFmtId="4" fontId="8" fillId="0" borderId="30" xfId="0" applyNumberFormat="1" applyFont="1" applyBorder="1" applyAlignment="1">
      <alignment horizontal="center" vertical="center"/>
    </xf>
    <xf numFmtId="0" fontId="8" fillId="0" borderId="13" xfId="0" applyFont="1" applyBorder="1" applyAlignment="1">
      <alignment horizontal="left" vertical="center" wrapText="1"/>
    </xf>
    <xf numFmtId="0" fontId="8" fillId="0" borderId="25" xfId="0" applyFont="1" applyBorder="1" applyAlignment="1">
      <alignment horizontal="left" vertical="center" wrapText="1"/>
    </xf>
    <xf numFmtId="0" fontId="8" fillId="0" borderId="9" xfId="0" applyFont="1" applyBorder="1" applyAlignment="1">
      <alignment horizontal="left" vertical="center" wrapText="1"/>
    </xf>
    <xf numFmtId="4" fontId="8" fillId="0" borderId="29" xfId="0" applyNumberFormat="1" applyFont="1" applyBorder="1" applyAlignment="1">
      <alignment horizontal="center" vertical="center"/>
    </xf>
    <xf numFmtId="0" fontId="10" fillId="11" borderId="28" xfId="0" applyFont="1" applyFill="1" applyBorder="1" applyAlignment="1">
      <alignment horizontal="center"/>
    </xf>
    <xf numFmtId="0" fontId="10" fillId="11" borderId="7" xfId="0" applyFont="1" applyFill="1" applyBorder="1" applyAlignment="1">
      <alignment horizontal="center"/>
    </xf>
    <xf numFmtId="0" fontId="10" fillId="11" borderId="13" xfId="0" applyFont="1" applyFill="1" applyBorder="1" applyAlignment="1">
      <alignment horizontal="center" vertical="center"/>
    </xf>
    <xf numFmtId="0" fontId="10" fillId="11" borderId="9" xfId="0" applyFont="1" applyFill="1" applyBorder="1" applyAlignment="1">
      <alignment horizontal="center" vertical="center"/>
    </xf>
    <xf numFmtId="0" fontId="10" fillId="4" borderId="5" xfId="0" applyFont="1" applyFill="1" applyBorder="1" applyAlignment="1">
      <alignment horizontal="center"/>
    </xf>
    <xf numFmtId="0" fontId="8" fillId="0" borderId="30" xfId="0" applyFont="1" applyBorder="1" applyAlignment="1">
      <alignment horizontal="center"/>
    </xf>
    <xf numFmtId="0" fontId="10" fillId="14" borderId="28" xfId="0" applyFont="1" applyFill="1" applyBorder="1" applyAlignment="1">
      <alignment horizontal="center"/>
    </xf>
    <xf numFmtId="0" fontId="10" fillId="14" borderId="29" xfId="0" applyFont="1" applyFill="1" applyBorder="1" applyAlignment="1">
      <alignment horizontal="center"/>
    </xf>
    <xf numFmtId="0" fontId="10" fillId="6" borderId="5" xfId="0" applyFont="1" applyFill="1" applyBorder="1" applyAlignment="1">
      <alignment horizontal="center"/>
    </xf>
    <xf numFmtId="0" fontId="8" fillId="10" borderId="5" xfId="0" applyFont="1" applyFill="1" applyBorder="1" applyAlignment="1">
      <alignment horizontal="left"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7" xfId="0" applyFont="1" applyBorder="1" applyAlignment="1">
      <alignment horizontal="center" vertical="center"/>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63" xfId="0" applyFont="1" applyFill="1" applyBorder="1" applyAlignment="1">
      <alignment horizontal="center" vertical="center" wrapText="1"/>
    </xf>
    <xf numFmtId="0" fontId="3" fillId="9" borderId="64" xfId="0" applyFont="1" applyFill="1" applyBorder="1" applyAlignment="1">
      <alignment horizontal="center" vertical="center" wrapText="1"/>
    </xf>
    <xf numFmtId="0" fontId="3" fillId="9" borderId="6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4" fontId="3" fillId="0" borderId="1" xfId="0" applyNumberFormat="1" applyFont="1" applyBorder="1" applyAlignment="1">
      <alignment horizontal="right" vertical="center" wrapText="1"/>
    </xf>
    <xf numFmtId="4" fontId="3" fillId="0" borderId="5"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4" fontId="1" fillId="0" borderId="5"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4" fontId="3" fillId="0" borderId="3"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3" fillId="0" borderId="56" xfId="0" applyNumberFormat="1" applyFont="1" applyBorder="1" applyAlignment="1">
      <alignment horizontal="center" vertical="center" wrapText="1"/>
    </xf>
    <xf numFmtId="4" fontId="3" fillId="0" borderId="51" xfId="0" applyNumberFormat="1" applyFont="1" applyBorder="1" applyAlignment="1">
      <alignment horizontal="center" vertical="center" wrapText="1"/>
    </xf>
    <xf numFmtId="4" fontId="3" fillId="0" borderId="50"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0" fontId="2" fillId="2" borderId="13" xfId="0" applyFont="1" applyFill="1" applyBorder="1" applyAlignment="1">
      <alignment horizontal="center" vertical="center" wrapText="1"/>
    </xf>
    <xf numFmtId="0" fontId="1" fillId="0" borderId="5" xfId="0" applyFont="1" applyBorder="1" applyAlignment="1">
      <alignment horizontal="left" vertical="center" wrapText="1"/>
    </xf>
    <xf numFmtId="1" fontId="7" fillId="0" borderId="5" xfId="0" applyNumberFormat="1" applyFont="1" applyBorder="1" applyAlignment="1">
      <alignment horizontal="right" vertical="center"/>
    </xf>
    <xf numFmtId="4" fontId="1" fillId="0" borderId="20"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4" fontId="1" fillId="0" borderId="49"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8" borderId="5" xfId="0" applyFont="1" applyFill="1" applyBorder="1" applyAlignment="1">
      <alignment horizontal="center" vertical="center" wrapText="1"/>
    </xf>
    <xf numFmtId="4" fontId="3" fillId="0" borderId="23" xfId="0" applyNumberFormat="1" applyFont="1" applyBorder="1" applyAlignment="1">
      <alignment horizontal="center" vertical="center" wrapText="1"/>
    </xf>
    <xf numFmtId="4" fontId="3" fillId="0" borderId="24" xfId="0" applyNumberFormat="1" applyFont="1" applyBorder="1" applyAlignment="1">
      <alignment horizontal="center" vertical="center" wrapText="1"/>
    </xf>
    <xf numFmtId="4" fontId="3" fillId="0" borderId="27" xfId="0" applyNumberFormat="1" applyFont="1" applyBorder="1" applyAlignment="1">
      <alignment horizontal="center" vertical="center" wrapText="1"/>
    </xf>
    <xf numFmtId="0" fontId="7" fillId="0" borderId="5" xfId="0" applyFont="1" applyBorder="1" applyAlignment="1">
      <alignment horizontal="center" vertical="center"/>
    </xf>
    <xf numFmtId="0" fontId="1" fillId="5" borderId="5" xfId="0" applyFont="1" applyFill="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36" xfId="0" applyNumberFormat="1" applyFont="1" applyBorder="1" applyAlignment="1">
      <alignment horizontal="center" vertical="center" wrapText="1"/>
    </xf>
    <xf numFmtId="0" fontId="3" fillId="0" borderId="23"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2" fillId="0" borderId="5" xfId="0" applyFont="1" applyBorder="1" applyAlignment="1">
      <alignment horizontal="center" vertical="center" wrapText="1"/>
    </xf>
    <xf numFmtId="0" fontId="12" fillId="16" borderId="23" xfId="1" applyBorder="1" applyAlignment="1">
      <alignment horizontal="center" vertical="center" wrapText="1"/>
    </xf>
    <xf numFmtId="0" fontId="12" fillId="16" borderId="24" xfId="1" applyBorder="1" applyAlignment="1">
      <alignment horizontal="center" vertical="center" wrapText="1"/>
    </xf>
    <xf numFmtId="0" fontId="12" fillId="16" borderId="27" xfId="1" applyBorder="1" applyAlignment="1">
      <alignment horizontal="center" vertical="center" wrapText="1"/>
    </xf>
    <xf numFmtId="0" fontId="3" fillId="0" borderId="58" xfId="0" applyFont="1" applyBorder="1" applyAlignment="1">
      <alignment horizontal="center" vertical="center" textRotation="90" wrapText="1"/>
    </xf>
    <xf numFmtId="0" fontId="3" fillId="0" borderId="57" xfId="0" applyFont="1" applyBorder="1" applyAlignment="1">
      <alignment horizontal="center" vertical="center" textRotation="90" wrapText="1"/>
    </xf>
    <xf numFmtId="4" fontId="3" fillId="0" borderId="5"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3" fillId="0" borderId="5" xfId="0" applyNumberFormat="1" applyFont="1" applyBorder="1" applyAlignment="1">
      <alignment vertical="center" wrapText="1"/>
    </xf>
    <xf numFmtId="4" fontId="3" fillId="0" borderId="13" xfId="0" applyNumberFormat="1" applyFont="1" applyBorder="1" applyAlignment="1">
      <alignment vertical="center" wrapText="1"/>
    </xf>
    <xf numFmtId="4" fontId="3" fillId="0" borderId="3" xfId="0" applyNumberFormat="1" applyFont="1" applyBorder="1" applyAlignment="1">
      <alignment vertical="center" wrapText="1"/>
    </xf>
    <xf numFmtId="4" fontId="3" fillId="0" borderId="16"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22" borderId="23" xfId="15" applyFont="1" applyBorder="1" applyAlignment="1">
      <alignment horizontal="center" vertical="center" textRotation="90" wrapText="1"/>
    </xf>
    <xf numFmtId="0" fontId="3" fillId="22" borderId="24" xfId="15" applyFont="1" applyBorder="1" applyAlignment="1">
      <alignment horizontal="center" vertical="center" textRotation="90" wrapText="1"/>
    </xf>
    <xf numFmtId="0" fontId="3" fillId="22" borderId="27" xfId="15" applyFont="1" applyBorder="1" applyAlignment="1">
      <alignment horizontal="center" vertical="center" textRotation="90" wrapText="1"/>
    </xf>
    <xf numFmtId="0" fontId="2" fillId="2" borderId="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9" fillId="22" borderId="23" xfId="15" applyFont="1" applyBorder="1" applyAlignment="1">
      <alignment horizontal="center" vertical="center" textRotation="90" wrapText="1"/>
    </xf>
    <xf numFmtId="0" fontId="1" fillId="2" borderId="1" xfId="0" applyFont="1" applyFill="1" applyBorder="1" applyAlignment="1">
      <alignment horizontal="center" vertical="center" wrapText="1"/>
    </xf>
    <xf numFmtId="4" fontId="2" fillId="0" borderId="25" xfId="0" applyNumberFormat="1" applyFont="1" applyBorder="1" applyAlignment="1">
      <alignment horizontal="center" vertical="center" wrapText="1"/>
    </xf>
    <xf numFmtId="4" fontId="2" fillId="0" borderId="49" xfId="0" applyNumberFormat="1" applyFont="1" applyBorder="1" applyAlignment="1">
      <alignment horizontal="center" vertical="center" wrapText="1"/>
    </xf>
    <xf numFmtId="4" fontId="3" fillId="0" borderId="49" xfId="0" applyNumberFormat="1" applyFont="1" applyBorder="1" applyAlignment="1">
      <alignment horizontal="center" vertical="center" wrapText="1"/>
    </xf>
    <xf numFmtId="0" fontId="1" fillId="0" borderId="22"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3" fillId="0" borderId="12" xfId="0" applyNumberFormat="1" applyFont="1" applyBorder="1" applyAlignment="1">
      <alignment vertical="center" wrapText="1"/>
    </xf>
    <xf numFmtId="4" fontId="3" fillId="0" borderId="11" xfId="0" applyNumberFormat="1" applyFont="1" applyBorder="1" applyAlignment="1">
      <alignment horizontal="center" vertical="center" wrapText="1"/>
    </xf>
    <xf numFmtId="0" fontId="1" fillId="0" borderId="35" xfId="0" applyFont="1" applyBorder="1" applyAlignment="1">
      <alignment horizontal="center" vertical="center" wrapText="1"/>
    </xf>
    <xf numFmtId="0" fontId="1" fillId="0" borderId="5" xfId="0" applyFont="1" applyBorder="1" applyAlignment="1">
      <alignment horizontal="center" vertical="center" wrapText="1"/>
    </xf>
    <xf numFmtId="0" fontId="2"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52" xfId="0" applyFont="1" applyFill="1" applyBorder="1" applyAlignment="1">
      <alignment horizontal="center" wrapText="1"/>
    </xf>
    <xf numFmtId="0" fontId="3" fillId="3" borderId="62" xfId="0" applyFont="1" applyFill="1" applyBorder="1" applyAlignment="1">
      <alignment horizontal="center" wrapText="1"/>
    </xf>
    <xf numFmtId="0" fontId="3" fillId="3" borderId="58" xfId="0" applyFont="1" applyFill="1" applyBorder="1" applyAlignment="1">
      <alignment horizont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9" xfId="0" applyFont="1" applyBorder="1" applyAlignment="1">
      <alignment horizontal="center" vertical="center"/>
    </xf>
    <xf numFmtId="0" fontId="1" fillId="15" borderId="23" xfId="0" applyFont="1" applyFill="1" applyBorder="1" applyAlignment="1">
      <alignment horizontal="center" vertical="center" wrapText="1"/>
    </xf>
    <xf numFmtId="0" fontId="1" fillId="15" borderId="27" xfId="0" applyFont="1" applyFill="1" applyBorder="1" applyAlignment="1">
      <alignment horizontal="center" vertical="center" wrapText="1"/>
    </xf>
    <xf numFmtId="4" fontId="3" fillId="0" borderId="12" xfId="0" applyNumberFormat="1" applyFont="1" applyBorder="1" applyAlignment="1">
      <alignment horizontal="center" vertical="center" wrapText="1"/>
    </xf>
    <xf numFmtId="0" fontId="1" fillId="2" borderId="20" xfId="0"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7" xfId="0" applyFont="1" applyBorder="1" applyAlignment="1">
      <alignment horizontal="left" vertical="center" wrapText="1"/>
    </xf>
    <xf numFmtId="0" fontId="7" fillId="15" borderId="13" xfId="0" applyFont="1" applyFill="1" applyBorder="1" applyAlignment="1">
      <alignment horizontal="center" vertical="center" wrapText="1"/>
    </xf>
    <xf numFmtId="0" fontId="7" fillId="15" borderId="25"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21" fillId="20" borderId="41" xfId="10" applyAlignment="1">
      <alignment horizontal="center"/>
    </xf>
    <xf numFmtId="0" fontId="32" fillId="0" borderId="13"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9" xfId="0" applyFont="1" applyBorder="1" applyAlignment="1">
      <alignment horizontal="center" vertical="center" wrapText="1"/>
    </xf>
    <xf numFmtId="166" fontId="11" fillId="0" borderId="13" xfId="0" applyNumberFormat="1" applyFont="1" applyBorder="1" applyAlignment="1">
      <alignment horizontal="right" vertical="center" wrapText="1"/>
    </xf>
    <xf numFmtId="166" fontId="11" fillId="0" borderId="25" xfId="0" applyNumberFormat="1" applyFont="1" applyBorder="1" applyAlignment="1">
      <alignment horizontal="right" vertical="center" wrapText="1"/>
    </xf>
    <xf numFmtId="166" fontId="11" fillId="0" borderId="9" xfId="0" applyNumberFormat="1" applyFont="1" applyBorder="1" applyAlignment="1">
      <alignment horizontal="right" vertical="center" wrapText="1"/>
    </xf>
    <xf numFmtId="0" fontId="11" fillId="4" borderId="5" xfId="0" applyFont="1" applyFill="1" applyBorder="1" applyAlignment="1">
      <alignment horizontal="center"/>
    </xf>
    <xf numFmtId="166" fontId="11" fillId="0" borderId="13" xfId="0" applyNumberFormat="1" applyFont="1" applyBorder="1" applyAlignment="1">
      <alignment horizontal="center" vertical="center" wrapText="1"/>
    </xf>
    <xf numFmtId="166" fontId="11" fillId="0" borderId="25" xfId="0" applyNumberFormat="1" applyFont="1" applyBorder="1" applyAlignment="1">
      <alignment horizontal="center" vertical="center" wrapText="1"/>
    </xf>
    <xf numFmtId="0" fontId="33" fillId="16" borderId="5" xfId="1" applyFont="1" applyBorder="1" applyAlignment="1">
      <alignment horizontal="left"/>
    </xf>
    <xf numFmtId="0" fontId="11" fillId="5" borderId="30" xfId="0" applyFont="1" applyFill="1" applyBorder="1" applyAlignment="1">
      <alignment horizontal="center"/>
    </xf>
    <xf numFmtId="166" fontId="11" fillId="0" borderId="13" xfId="43" applyNumberFormat="1" applyFont="1" applyBorder="1" applyAlignment="1">
      <alignment horizontal="right" vertical="center" wrapText="1"/>
    </xf>
    <xf numFmtId="166" fontId="11" fillId="0" borderId="25" xfId="43" applyNumberFormat="1" applyFont="1" applyBorder="1" applyAlignment="1">
      <alignment horizontal="right" vertical="center" wrapText="1"/>
    </xf>
    <xf numFmtId="166" fontId="11" fillId="0" borderId="9" xfId="43" applyNumberFormat="1" applyFont="1" applyBorder="1" applyAlignment="1">
      <alignment horizontal="right" vertical="center" wrapText="1"/>
    </xf>
  </cellXfs>
  <cellStyles count="44">
    <cellStyle name="20 % – Poudarek1" xfId="19" builtinId="30" customBuiltin="1"/>
    <cellStyle name="20 % – Poudarek2" xfId="23" builtinId="34" customBuiltin="1"/>
    <cellStyle name="20 % – Poudarek3" xfId="27" builtinId="38" customBuiltin="1"/>
    <cellStyle name="20 % – Poudarek4" xfId="31" builtinId="42" customBuiltin="1"/>
    <cellStyle name="20 % – Poudarek5" xfId="35" builtinId="46" customBuiltin="1"/>
    <cellStyle name="20 % – Poudarek6" xfId="39" builtinId="50" customBuiltin="1"/>
    <cellStyle name="40 % – Poudarek1" xfId="20" builtinId="31" customBuiltin="1"/>
    <cellStyle name="40 % – Poudarek2" xfId="24" builtinId="35" customBuiltin="1"/>
    <cellStyle name="40 % – Poudarek3" xfId="28" builtinId="39" customBuiltin="1"/>
    <cellStyle name="40 % – Poudarek4" xfId="32" builtinId="43" customBuiltin="1"/>
    <cellStyle name="40 % – Poudarek5" xfId="36" builtinId="47" customBuiltin="1"/>
    <cellStyle name="40 % – Poudarek6" xfId="40" builtinId="51" customBuiltin="1"/>
    <cellStyle name="60 % – Poudarek1" xfId="21" builtinId="32" customBuiltin="1"/>
    <cellStyle name="60 % – Poudarek2" xfId="25" builtinId="36" customBuiltin="1"/>
    <cellStyle name="60 % – Poudarek3" xfId="29" builtinId="40" customBuiltin="1"/>
    <cellStyle name="60 % – Poudarek4" xfId="33" builtinId="44" customBuiltin="1"/>
    <cellStyle name="60 % – Poudarek5" xfId="37" builtinId="48" customBuiltin="1"/>
    <cellStyle name="60 % – Poudarek6" xfId="41" builtinId="52" customBuiltin="1"/>
    <cellStyle name="Dobro" xfId="1" builtinId="26" customBuiltin="1"/>
    <cellStyle name="Hiperpovezava" xfId="42" builtinId="8"/>
    <cellStyle name="Izhod" xfId="10" builtinId="21" customBuiltin="1"/>
    <cellStyle name="Naslov" xfId="2" builtinId="15" customBuiltin="1"/>
    <cellStyle name="Naslov 1" xfId="3" builtinId="16" customBuiltin="1"/>
    <cellStyle name="Naslov 2" xfId="4" builtinId="17" customBuiltin="1"/>
    <cellStyle name="Naslov 3" xfId="5" builtinId="18" customBuiltin="1"/>
    <cellStyle name="Naslov 4" xfId="6" builtinId="19" customBuiltin="1"/>
    <cellStyle name="Navadno" xfId="0" builtinId="0"/>
    <cellStyle name="Nevtralno" xfId="8" builtinId="28" customBuiltin="1"/>
    <cellStyle name="Opomba" xfId="15" builtinId="10" customBuiltin="1"/>
    <cellStyle name="Opozorilo" xfId="14" builtinId="11" customBuiltin="1"/>
    <cellStyle name="Pojasnjevalno besedilo" xfId="16" builtinId="53" customBuiltin="1"/>
    <cellStyle name="Poudarek1" xfId="18" builtinId="29" customBuiltin="1"/>
    <cellStyle name="Poudarek2" xfId="22" builtinId="33" customBuiltin="1"/>
    <cellStyle name="Poudarek3" xfId="26" builtinId="37" customBuiltin="1"/>
    <cellStyle name="Poudarek4" xfId="30" builtinId="41" customBuiltin="1"/>
    <cellStyle name="Poudarek5" xfId="34" builtinId="45" customBuiltin="1"/>
    <cellStyle name="Poudarek6" xfId="38" builtinId="49" customBuiltin="1"/>
    <cellStyle name="Povezana celica" xfId="12" builtinId="24" customBuiltin="1"/>
    <cellStyle name="Preveri celico" xfId="13" builtinId="23" customBuiltin="1"/>
    <cellStyle name="Računanje" xfId="11" builtinId="22" customBuiltin="1"/>
    <cellStyle name="Slabo" xfId="7" builtinId="27" customBuiltin="1"/>
    <cellStyle name="Valuta" xfId="43" builtinId="4"/>
    <cellStyle name="Vnos" xfId="9" builtinId="20" customBuiltin="1"/>
    <cellStyle name="Vsota"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okasnaga.si/informacije/okoljska-dajatev" TargetMode="External"/><Relationship Id="rId3" Type="http://schemas.openxmlformats.org/officeDocument/2006/relationships/hyperlink" Target="https://www.vokasnaga.si/sites/www.jhl.si/files/dokumenti/cenik_storitev_gospodarske_javne_sluzbe_oskrbe_s_pitno_vodo_ter_odvajanja_in_ciscenja_komunalne_in_padavinske_odpadne_vode_1_3_2023.pdf" TargetMode="External"/><Relationship Id="rId7" Type="http://schemas.openxmlformats.org/officeDocument/2006/relationships/hyperlink" Target="https://www.uradni-list.si/1/objava.jsp?sop=2022-01-1398" TargetMode="External"/><Relationship Id="rId2" Type="http://schemas.openxmlformats.org/officeDocument/2006/relationships/hyperlink" Target="https://www.vokasnaga.si/informacije/okoljska-dajatev" TargetMode="External"/><Relationship Id="rId1" Type="http://schemas.openxmlformats.org/officeDocument/2006/relationships/hyperlink" Target="https://www.vokasnaga.si/sites/www.jhl.si/files/dokumenti/ead-301491_cenik_posebne_storitve_za_izredni_prevzem_blata_iz_obstojecih_pretocnih_greznic_in_malih_komnalnih_cistilnih_naprav_01_03_2020.pdf" TargetMode="External"/><Relationship Id="rId6" Type="http://schemas.openxmlformats.org/officeDocument/2006/relationships/hyperlink" Target="https://www.vokasnaga.si/sites/www.jhl.si/files/dokumenti/cenik_storitev_gospodarske_javne_sluzbe_oskrbe_s_pitno_vodo_ter_odvajanja_in_ciscenja_komunalne_in_padavinske_odpadne_vode_1_3_2023.pdf" TargetMode="External"/><Relationship Id="rId11" Type="http://schemas.openxmlformats.org/officeDocument/2006/relationships/printerSettings" Target="../printerSettings/printerSettings1.bin"/><Relationship Id="rId5" Type="http://schemas.openxmlformats.org/officeDocument/2006/relationships/hyperlink" Target="https://www.vokasnaga.si/informacije/okoljska-dajatev" TargetMode="External"/><Relationship Id="rId10" Type="http://schemas.openxmlformats.org/officeDocument/2006/relationships/hyperlink" Target="https://pxweb.stat.si/SiStatData/pxweb/sl/Data/-/2700002S.px/table/tableViewLayout2/" TargetMode="External"/><Relationship Id="rId4" Type="http://schemas.openxmlformats.org/officeDocument/2006/relationships/hyperlink" Target="https://www.uradni-list.si/1/objava.jsp?sop=2022-01-1398" TargetMode="External"/><Relationship Id="rId9" Type="http://schemas.openxmlformats.org/officeDocument/2006/relationships/hyperlink" Target="https://pxweb.stat.si/SiStatData/pxweb/sl/Data/-/2700002S.px/table/tableViewLayout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51"/>
  <sheetViews>
    <sheetView zoomScaleNormal="100" workbookViewId="0">
      <selection activeCell="K35" sqref="K35"/>
    </sheetView>
  </sheetViews>
  <sheetFormatPr defaultColWidth="9.140625" defaultRowHeight="16.5" x14ac:dyDescent="0.3"/>
  <cols>
    <col min="1" max="1" width="2.7109375" style="11" customWidth="1"/>
    <col min="2" max="2" width="23" style="11" customWidth="1"/>
    <col min="3" max="3" width="13.5703125" style="11" customWidth="1"/>
    <col min="4" max="5" width="12.5703125" style="11" customWidth="1"/>
    <col min="6" max="6" width="20.85546875" style="11" customWidth="1"/>
    <col min="7" max="7" width="3.28515625" style="11" customWidth="1"/>
    <col min="8" max="8" width="69.140625" style="11" customWidth="1"/>
    <col min="9" max="9" width="12.7109375" style="11" customWidth="1"/>
    <col min="10" max="10" width="12.140625" style="11" customWidth="1"/>
    <col min="11" max="11" width="11.5703125" style="11" customWidth="1"/>
    <col min="12" max="12" width="14.85546875" style="11" customWidth="1"/>
    <col min="13" max="13" width="23.85546875" style="11" customWidth="1"/>
    <col min="14" max="14" width="78.5703125" style="11" customWidth="1"/>
    <col min="15" max="15" width="12" style="11" customWidth="1"/>
    <col min="16" max="16384" width="9.140625" style="11"/>
  </cols>
  <sheetData>
    <row r="2" spans="2:22" x14ac:dyDescent="0.3">
      <c r="B2" s="299" t="s">
        <v>79</v>
      </c>
      <c r="C2" s="299"/>
      <c r="D2" s="299"/>
      <c r="E2" s="299"/>
      <c r="F2" s="299"/>
      <c r="H2" s="303" t="s">
        <v>80</v>
      </c>
      <c r="I2" s="303"/>
      <c r="J2" s="303"/>
      <c r="K2" s="303"/>
      <c r="L2" s="303"/>
      <c r="M2" s="303"/>
    </row>
    <row r="3" spans="2:22" x14ac:dyDescent="0.3">
      <c r="B3" s="300"/>
      <c r="C3" s="300"/>
      <c r="D3" s="300"/>
      <c r="E3" s="300"/>
      <c r="F3" s="300"/>
      <c r="H3" s="300"/>
      <c r="I3" s="300"/>
      <c r="J3" s="300"/>
      <c r="K3" s="300"/>
      <c r="L3" s="300"/>
      <c r="M3" s="300"/>
    </row>
    <row r="4" spans="2:22" x14ac:dyDescent="0.3">
      <c r="B4" s="278" t="s">
        <v>81</v>
      </c>
      <c r="C4" s="278"/>
      <c r="D4" s="47" t="s">
        <v>50</v>
      </c>
      <c r="E4" s="47" t="s">
        <v>51</v>
      </c>
      <c r="F4" s="297" t="s">
        <v>52</v>
      </c>
      <c r="H4" s="301" t="s">
        <v>77</v>
      </c>
      <c r="I4" s="302"/>
      <c r="J4" s="302"/>
      <c r="K4" s="302"/>
      <c r="L4" s="302"/>
      <c r="M4" s="44" t="s">
        <v>52</v>
      </c>
      <c r="N4" s="158" t="s">
        <v>191</v>
      </c>
      <c r="O4" s="158"/>
      <c r="P4" s="158"/>
    </row>
    <row r="5" spans="2:22" ht="33" customHeight="1" x14ac:dyDescent="0.3">
      <c r="B5" s="48" t="s">
        <v>84</v>
      </c>
      <c r="C5" s="48" t="s">
        <v>54</v>
      </c>
      <c r="D5" s="48" t="s">
        <v>82</v>
      </c>
      <c r="E5" s="48" t="s">
        <v>83</v>
      </c>
      <c r="F5" s="298"/>
      <c r="H5" s="53" t="s">
        <v>76</v>
      </c>
      <c r="I5" s="283"/>
      <c r="J5" s="284"/>
      <c r="K5" s="284"/>
      <c r="L5" s="284"/>
      <c r="M5" s="282"/>
      <c r="N5" s="158"/>
      <c r="O5" s="158"/>
      <c r="P5" s="158"/>
    </row>
    <row r="6" spans="2:22" x14ac:dyDescent="0.3">
      <c r="B6" s="304" t="s">
        <v>55</v>
      </c>
      <c r="C6" s="57" t="s">
        <v>56</v>
      </c>
      <c r="D6" s="258">
        <f>D8*0.4</f>
        <v>176</v>
      </c>
      <c r="E6" s="52">
        <f>D6*1.22</f>
        <v>214.72</v>
      </c>
      <c r="F6" s="271" t="s">
        <v>255</v>
      </c>
      <c r="H6" s="53" t="s">
        <v>118</v>
      </c>
      <c r="I6" s="285">
        <v>6402</v>
      </c>
      <c r="J6" s="286"/>
      <c r="K6" s="286"/>
      <c r="L6" s="286"/>
      <c r="M6" s="282"/>
      <c r="N6" s="158"/>
      <c r="O6" s="158"/>
      <c r="P6" s="158"/>
    </row>
    <row r="7" spans="2:22" x14ac:dyDescent="0.3">
      <c r="B7" s="304"/>
      <c r="C7" s="57" t="s">
        <v>57</v>
      </c>
      <c r="D7" s="258">
        <f>D8*0.7</f>
        <v>308</v>
      </c>
      <c r="E7" s="52">
        <f t="shared" ref="E7:E11" si="0">D7*1.22</f>
        <v>375.76</v>
      </c>
      <c r="F7" s="272"/>
      <c r="H7" s="53" t="s">
        <v>75</v>
      </c>
      <c r="I7" s="285">
        <v>5995</v>
      </c>
      <c r="J7" s="286"/>
      <c r="K7" s="286"/>
      <c r="L7" s="286"/>
      <c r="M7" s="282"/>
      <c r="N7" s="158"/>
      <c r="O7" s="158"/>
      <c r="P7" s="158"/>
      <c r="V7" s="158"/>
    </row>
    <row r="8" spans="2:22" ht="33.75" customHeight="1" x14ac:dyDescent="0.3">
      <c r="B8" s="304"/>
      <c r="C8" s="57" t="s">
        <v>58</v>
      </c>
      <c r="D8" s="258">
        <v>440</v>
      </c>
      <c r="E8" s="52">
        <f t="shared" si="0"/>
        <v>536.79999999999995</v>
      </c>
      <c r="F8" s="273"/>
      <c r="H8" s="54" t="s">
        <v>187</v>
      </c>
      <c r="I8" s="287">
        <v>59.4</v>
      </c>
      <c r="J8" s="288"/>
      <c r="K8" s="288"/>
      <c r="L8" s="288"/>
      <c r="M8" s="282"/>
      <c r="N8" s="158" t="s">
        <v>190</v>
      </c>
      <c r="O8" s="158"/>
      <c r="P8" s="158"/>
    </row>
    <row r="9" spans="2:22" ht="33" x14ac:dyDescent="0.3">
      <c r="B9" s="304" t="s">
        <v>59</v>
      </c>
      <c r="C9" s="57" t="s">
        <v>56</v>
      </c>
      <c r="D9" s="258">
        <v>112.99999999999999</v>
      </c>
      <c r="E9" s="52">
        <f>D9*1.22</f>
        <v>137.85999999999999</v>
      </c>
      <c r="F9" s="12"/>
      <c r="H9" s="54" t="s">
        <v>96</v>
      </c>
      <c r="I9" s="287">
        <v>59.4</v>
      </c>
      <c r="J9" s="288"/>
      <c r="K9" s="288"/>
      <c r="L9" s="288"/>
      <c r="M9" s="282"/>
      <c r="N9" s="158" t="s">
        <v>190</v>
      </c>
      <c r="O9" s="158"/>
      <c r="P9" s="158"/>
    </row>
    <row r="10" spans="2:22" x14ac:dyDescent="0.3">
      <c r="B10" s="304"/>
      <c r="C10" s="57" t="s">
        <v>57</v>
      </c>
      <c r="D10" s="258">
        <v>197.74999999999997</v>
      </c>
      <c r="E10" s="52">
        <f t="shared" si="0"/>
        <v>241.25499999999997</v>
      </c>
      <c r="F10" s="12"/>
      <c r="H10" s="305"/>
      <c r="I10" s="306"/>
      <c r="J10" s="306"/>
      <c r="K10" s="306"/>
      <c r="L10" s="306"/>
      <c r="M10" s="307"/>
      <c r="N10" s="158"/>
      <c r="O10" s="158"/>
      <c r="P10" s="158"/>
    </row>
    <row r="11" spans="2:22" x14ac:dyDescent="0.3">
      <c r="B11" s="304"/>
      <c r="C11" s="57" t="s">
        <v>58</v>
      </c>
      <c r="D11" s="258">
        <v>282.5</v>
      </c>
      <c r="E11" s="52">
        <f t="shared" si="0"/>
        <v>344.65</v>
      </c>
      <c r="F11" s="12"/>
      <c r="H11" s="62" t="s">
        <v>78</v>
      </c>
      <c r="I11" s="278" t="s">
        <v>184</v>
      </c>
      <c r="J11" s="278"/>
      <c r="K11" s="278" t="s">
        <v>92</v>
      </c>
      <c r="L11" s="278"/>
      <c r="M11" s="44" t="s">
        <v>52</v>
      </c>
      <c r="N11" s="158"/>
      <c r="O11" s="158"/>
      <c r="P11" s="158"/>
    </row>
    <row r="12" spans="2:22" ht="33" x14ac:dyDescent="0.3">
      <c r="B12" s="48" t="s">
        <v>85</v>
      </c>
      <c r="C12" s="48" t="s">
        <v>14</v>
      </c>
      <c r="D12" s="48" t="s">
        <v>86</v>
      </c>
      <c r="E12" s="48" t="s">
        <v>87</v>
      </c>
      <c r="F12" s="47" t="s">
        <v>52</v>
      </c>
      <c r="H12" s="12"/>
      <c r="I12" s="46" t="s">
        <v>93</v>
      </c>
      <c r="J12" s="23" t="s">
        <v>53</v>
      </c>
      <c r="K12" s="48" t="s">
        <v>93</v>
      </c>
      <c r="L12" s="40" t="s">
        <v>53</v>
      </c>
      <c r="M12" s="23"/>
    </row>
    <row r="13" spans="2:22" ht="16.5" customHeight="1" x14ac:dyDescent="0.3">
      <c r="B13" s="274" t="s">
        <v>60</v>
      </c>
      <c r="C13" s="58" t="s">
        <v>107</v>
      </c>
      <c r="D13" s="258">
        <v>141250</v>
      </c>
      <c r="E13" s="52">
        <f>D13*1.22</f>
        <v>172325</v>
      </c>
      <c r="F13" s="55"/>
      <c r="H13" s="21" t="s">
        <v>102</v>
      </c>
      <c r="I13" s="22">
        <f>0.17+0.9758</f>
        <v>1.1457999999999999</v>
      </c>
      <c r="J13" s="22"/>
      <c r="K13" s="41"/>
      <c r="L13" s="41"/>
      <c r="M13" s="22"/>
      <c r="N13" s="162" t="s">
        <v>192</v>
      </c>
      <c r="O13" s="158"/>
    </row>
    <row r="14" spans="2:22" ht="16.5" customHeight="1" x14ac:dyDescent="0.3">
      <c r="B14" s="275"/>
      <c r="C14" s="58" t="s">
        <v>108</v>
      </c>
      <c r="D14" s="258">
        <v>90399.999999999985</v>
      </c>
      <c r="E14" s="52">
        <f t="shared" ref="E14:E17" si="1">D14*1.22</f>
        <v>110287.99999999999</v>
      </c>
      <c r="F14" s="55"/>
      <c r="H14" s="21" t="s">
        <v>103</v>
      </c>
      <c r="I14" s="22"/>
      <c r="J14" s="22">
        <f>1.8139+1.067</f>
        <v>2.8809</v>
      </c>
      <c r="K14" s="41"/>
      <c r="L14" s="41"/>
      <c r="M14" s="22"/>
      <c r="N14" s="163" t="s">
        <v>185</v>
      </c>
    </row>
    <row r="15" spans="2:22" x14ac:dyDescent="0.3">
      <c r="B15" s="276" t="s">
        <v>109</v>
      </c>
      <c r="C15" s="59" t="s">
        <v>110</v>
      </c>
      <c r="D15" s="258">
        <v>225.99999999999997</v>
      </c>
      <c r="E15" s="52">
        <f t="shared" si="1"/>
        <v>275.71999999999997</v>
      </c>
      <c r="F15" s="12"/>
      <c r="H15" s="21" t="s">
        <v>94</v>
      </c>
      <c r="I15" s="22">
        <v>5.28E-2</v>
      </c>
      <c r="J15" s="22"/>
      <c r="K15" s="41"/>
      <c r="L15" s="41"/>
      <c r="M15" s="22"/>
      <c r="N15" s="161" t="s">
        <v>189</v>
      </c>
    </row>
    <row r="16" spans="2:22" x14ac:dyDescent="0.3">
      <c r="B16" s="277"/>
      <c r="C16" s="59" t="s">
        <v>111</v>
      </c>
      <c r="D16" s="258">
        <v>338.99999999999994</v>
      </c>
      <c r="E16" s="52">
        <f t="shared" si="1"/>
        <v>413.57999999999993</v>
      </c>
      <c r="F16" s="12"/>
      <c r="H16" s="68" t="s">
        <v>35</v>
      </c>
      <c r="I16" s="79">
        <f>SUM(I13:I15)</f>
        <v>1.1985999999999999</v>
      </c>
      <c r="J16" s="79">
        <f t="shared" ref="J16" si="2">SUM(J13:J15)</f>
        <v>2.8809</v>
      </c>
      <c r="K16" s="69"/>
      <c r="L16" s="69"/>
      <c r="M16" s="70"/>
    </row>
    <row r="17" spans="2:16" ht="33" x14ac:dyDescent="0.3">
      <c r="B17" s="82" t="s">
        <v>119</v>
      </c>
      <c r="C17" s="59" t="s">
        <v>14</v>
      </c>
      <c r="D17" s="258">
        <v>1130</v>
      </c>
      <c r="E17" s="52">
        <f t="shared" si="1"/>
        <v>1378.6</v>
      </c>
      <c r="F17" s="12"/>
      <c r="H17" s="62" t="s">
        <v>95</v>
      </c>
      <c r="I17" s="278" t="s">
        <v>184</v>
      </c>
      <c r="J17" s="278"/>
      <c r="K17" s="278" t="s">
        <v>92</v>
      </c>
      <c r="L17" s="278"/>
      <c r="M17" s="44" t="s">
        <v>52</v>
      </c>
    </row>
    <row r="18" spans="2:16" ht="26.25" customHeight="1" x14ac:dyDescent="0.3">
      <c r="B18" s="48" t="s">
        <v>91</v>
      </c>
      <c r="C18" s="48" t="s">
        <v>32</v>
      </c>
      <c r="D18" s="48" t="s">
        <v>86</v>
      </c>
      <c r="E18" s="48" t="s">
        <v>87</v>
      </c>
      <c r="F18" s="47" t="s">
        <v>52</v>
      </c>
      <c r="H18" s="12"/>
      <c r="I18" s="46" t="s">
        <v>93</v>
      </c>
      <c r="J18" s="23" t="s">
        <v>53</v>
      </c>
      <c r="K18" s="48" t="s">
        <v>93</v>
      </c>
      <c r="L18" s="40" t="s">
        <v>53</v>
      </c>
      <c r="M18" s="23"/>
    </row>
    <row r="19" spans="2:16" ht="16.5" customHeight="1" x14ac:dyDescent="0.3">
      <c r="B19" s="279" t="s">
        <v>63</v>
      </c>
      <c r="C19" s="60">
        <v>10</v>
      </c>
      <c r="D19" s="61">
        <v>9266</v>
      </c>
      <c r="E19" s="50">
        <f>D19*1.22</f>
        <v>11304.52</v>
      </c>
      <c r="F19" s="282" t="s">
        <v>97</v>
      </c>
      <c r="H19" s="21" t="s">
        <v>102</v>
      </c>
      <c r="I19" s="22">
        <v>0.9758</v>
      </c>
      <c r="J19" s="22"/>
      <c r="K19" s="41"/>
      <c r="L19" s="41"/>
      <c r="M19" s="22"/>
      <c r="N19" s="162" t="s">
        <v>192</v>
      </c>
    </row>
    <row r="20" spans="2:16" ht="16.5" customHeight="1" x14ac:dyDescent="0.3">
      <c r="B20" s="280"/>
      <c r="C20" s="60">
        <v>20</v>
      </c>
      <c r="D20" s="61">
        <v>13559.999999999998</v>
      </c>
      <c r="E20" s="50">
        <f t="shared" ref="E20:E33" si="3">D20*1.22</f>
        <v>16543.199999999997</v>
      </c>
      <c r="F20" s="282"/>
      <c r="H20" s="21" t="s">
        <v>103</v>
      </c>
      <c r="I20" s="22"/>
      <c r="J20" s="22">
        <v>1.8139000000000001</v>
      </c>
      <c r="K20" s="41"/>
      <c r="L20" s="41"/>
      <c r="M20" s="22"/>
      <c r="N20" s="163" t="s">
        <v>185</v>
      </c>
    </row>
    <row r="21" spans="2:16" x14ac:dyDescent="0.3">
      <c r="B21" s="280"/>
      <c r="C21" s="60">
        <v>30</v>
      </c>
      <c r="D21" s="61">
        <v>19774.999999999996</v>
      </c>
      <c r="E21" s="50">
        <f t="shared" si="3"/>
        <v>24125.499999999996</v>
      </c>
      <c r="F21" s="282"/>
      <c r="H21" s="83" t="s">
        <v>94</v>
      </c>
      <c r="I21" s="22">
        <v>5.28E-2</v>
      </c>
      <c r="J21" s="22"/>
      <c r="K21" s="84"/>
      <c r="L21" s="41"/>
      <c r="M21" s="22"/>
      <c r="N21" s="161" t="s">
        <v>189</v>
      </c>
    </row>
    <row r="22" spans="2:16" ht="18" customHeight="1" x14ac:dyDescent="0.3">
      <c r="B22" s="280"/>
      <c r="C22" s="60">
        <v>50</v>
      </c>
      <c r="D22" s="61">
        <v>25989.999999999996</v>
      </c>
      <c r="E22" s="50">
        <f t="shared" si="3"/>
        <v>31707.799999999996</v>
      </c>
      <c r="F22" s="282"/>
      <c r="H22" s="68"/>
      <c r="I22" s="79">
        <f>SUM(I19:I21)</f>
        <v>1.0286</v>
      </c>
      <c r="J22" s="79">
        <f t="shared" ref="J22" si="4">SUM(J19:J21)</f>
        <v>1.8139000000000001</v>
      </c>
      <c r="K22" s="69"/>
      <c r="L22" s="69"/>
      <c r="M22" s="70"/>
    </row>
    <row r="23" spans="2:16" x14ac:dyDescent="0.3">
      <c r="B23" s="280"/>
      <c r="C23" s="60">
        <v>75</v>
      </c>
      <c r="D23" s="61">
        <v>38984.999999999993</v>
      </c>
      <c r="E23" s="50">
        <f t="shared" si="3"/>
        <v>47561.69999999999</v>
      </c>
      <c r="F23" s="282"/>
      <c r="H23" s="62" t="s">
        <v>62</v>
      </c>
      <c r="I23" s="278" t="s">
        <v>184</v>
      </c>
      <c r="J23" s="278"/>
      <c r="K23" s="278" t="s">
        <v>92</v>
      </c>
      <c r="L23" s="278"/>
      <c r="M23" s="44" t="s">
        <v>52</v>
      </c>
    </row>
    <row r="24" spans="2:16" ht="16.5" customHeight="1" x14ac:dyDescent="0.3">
      <c r="B24" s="280"/>
      <c r="C24" s="60">
        <v>100</v>
      </c>
      <c r="D24" s="61">
        <v>57629.999999999993</v>
      </c>
      <c r="E24" s="50">
        <f t="shared" si="3"/>
        <v>70308.599999999991</v>
      </c>
      <c r="F24" s="282"/>
      <c r="H24" s="66" t="s">
        <v>63</v>
      </c>
      <c r="I24" s="65" t="s">
        <v>93</v>
      </c>
      <c r="J24" s="64" t="s">
        <v>112</v>
      </c>
      <c r="K24" s="48" t="s">
        <v>112</v>
      </c>
      <c r="L24" s="40" t="s">
        <v>100</v>
      </c>
      <c r="M24" s="177"/>
    </row>
    <row r="25" spans="2:16" x14ac:dyDescent="0.3">
      <c r="B25" s="280"/>
      <c r="C25" s="60">
        <v>150</v>
      </c>
      <c r="D25" s="61">
        <v>86444.999999999985</v>
      </c>
      <c r="E25" s="50">
        <f t="shared" si="3"/>
        <v>105462.89999999998</v>
      </c>
      <c r="F25" s="282"/>
      <c r="H25" s="43" t="s">
        <v>16</v>
      </c>
      <c r="I25" s="156"/>
      <c r="J25" s="63">
        <v>8475</v>
      </c>
      <c r="K25" s="42">
        <f>J25*1.095</f>
        <v>9280.125</v>
      </c>
      <c r="L25" s="39"/>
      <c r="M25" s="178"/>
      <c r="N25" s="157"/>
      <c r="O25" s="13"/>
    </row>
    <row r="26" spans="2:16" x14ac:dyDescent="0.3">
      <c r="B26" s="280"/>
      <c r="C26" s="60">
        <v>200</v>
      </c>
      <c r="D26" s="61">
        <v>115259.99999999999</v>
      </c>
      <c r="E26" s="50">
        <f t="shared" si="3"/>
        <v>140617.19999999998</v>
      </c>
      <c r="F26" s="282"/>
      <c r="H26" s="43" t="s">
        <v>17</v>
      </c>
      <c r="I26" s="156"/>
      <c r="J26" s="63">
        <v>13559.999999999998</v>
      </c>
      <c r="K26" s="42">
        <f t="shared" ref="K26:K31" si="5">J26*1.095</f>
        <v>14848.199999999997</v>
      </c>
      <c r="L26" s="39"/>
      <c r="M26" s="178"/>
      <c r="N26" s="157"/>
      <c r="O26" s="13"/>
      <c r="P26" s="180"/>
    </row>
    <row r="27" spans="2:16" x14ac:dyDescent="0.3">
      <c r="B27" s="280"/>
      <c r="C27" s="60">
        <v>250</v>
      </c>
      <c r="D27" s="61">
        <v>144075</v>
      </c>
      <c r="E27" s="50">
        <f t="shared" si="3"/>
        <v>175771.5</v>
      </c>
      <c r="F27" s="282"/>
      <c r="H27" s="43" t="s">
        <v>18</v>
      </c>
      <c r="I27" s="156"/>
      <c r="J27" s="63">
        <v>21695.999999999996</v>
      </c>
      <c r="K27" s="42">
        <f t="shared" si="5"/>
        <v>23757.119999999995</v>
      </c>
      <c r="L27" s="39"/>
      <c r="M27" s="178"/>
      <c r="N27" s="157"/>
      <c r="O27" s="13"/>
      <c r="P27" s="180"/>
    </row>
    <row r="28" spans="2:16" x14ac:dyDescent="0.3">
      <c r="B28" s="280"/>
      <c r="C28" s="60">
        <v>300</v>
      </c>
      <c r="D28" s="61">
        <v>172889.99999999997</v>
      </c>
      <c r="E28" s="50">
        <f t="shared" si="3"/>
        <v>210925.79999999996</v>
      </c>
      <c r="F28" s="282"/>
      <c r="H28" s="43" t="s">
        <v>198</v>
      </c>
      <c r="I28" s="156"/>
      <c r="J28" s="63">
        <v>35030</v>
      </c>
      <c r="K28" s="42">
        <f t="shared" si="5"/>
        <v>38357.85</v>
      </c>
      <c r="L28" s="39"/>
      <c r="M28" s="178"/>
      <c r="N28" s="157"/>
      <c r="O28" s="13"/>
      <c r="P28" s="180"/>
    </row>
    <row r="29" spans="2:16" x14ac:dyDescent="0.3">
      <c r="B29" s="280"/>
      <c r="C29" s="60">
        <v>400</v>
      </c>
      <c r="D29" s="61">
        <v>230519.99999999997</v>
      </c>
      <c r="E29" s="50">
        <f t="shared" si="3"/>
        <v>281234.39999999997</v>
      </c>
      <c r="F29" s="282"/>
      <c r="H29" s="43" t="s">
        <v>199</v>
      </c>
      <c r="I29" s="156"/>
      <c r="J29" s="63">
        <v>56499.999999999993</v>
      </c>
      <c r="K29" s="42">
        <f t="shared" si="5"/>
        <v>61867.499999999993</v>
      </c>
      <c r="L29" s="39"/>
      <c r="M29" s="178"/>
      <c r="N29" s="157"/>
      <c r="O29" s="13"/>
      <c r="P29" s="180"/>
    </row>
    <row r="30" spans="2:16" x14ac:dyDescent="0.3">
      <c r="B30" s="280"/>
      <c r="C30" s="60">
        <v>500</v>
      </c>
      <c r="D30" s="61">
        <v>288150</v>
      </c>
      <c r="E30" s="50">
        <f t="shared" si="3"/>
        <v>351543</v>
      </c>
      <c r="F30" s="282"/>
      <c r="H30" s="43" t="s">
        <v>200</v>
      </c>
      <c r="I30" s="156"/>
      <c r="J30" s="63">
        <v>84749.999999999985</v>
      </c>
      <c r="K30" s="42">
        <f t="shared" si="5"/>
        <v>92801.249999999985</v>
      </c>
      <c r="L30" s="39"/>
      <c r="M30" s="179"/>
      <c r="N30" s="157"/>
      <c r="O30" s="13"/>
      <c r="P30" s="180"/>
    </row>
    <row r="31" spans="2:16" x14ac:dyDescent="0.3">
      <c r="B31" s="280"/>
      <c r="C31" s="60">
        <v>1000</v>
      </c>
      <c r="D31" s="61">
        <v>1000000</v>
      </c>
      <c r="E31" s="50">
        <f t="shared" si="3"/>
        <v>1220000</v>
      </c>
      <c r="F31" s="282"/>
      <c r="H31" s="43" t="s">
        <v>201</v>
      </c>
      <c r="I31" s="156"/>
      <c r="J31" s="63">
        <v>197749.99999999997</v>
      </c>
      <c r="K31" s="42">
        <f t="shared" si="5"/>
        <v>216536.24999999997</v>
      </c>
      <c r="L31" s="39"/>
      <c r="M31" s="179"/>
      <c r="N31" s="157"/>
      <c r="O31" s="13"/>
      <c r="P31" s="180"/>
    </row>
    <row r="32" spans="2:16" x14ac:dyDescent="0.3">
      <c r="B32" s="280"/>
      <c r="C32" s="60">
        <v>2000</v>
      </c>
      <c r="D32" s="61">
        <v>2000000</v>
      </c>
      <c r="E32" s="50">
        <f t="shared" si="3"/>
        <v>2440000</v>
      </c>
      <c r="F32" s="282"/>
      <c r="H32" s="43" t="s">
        <v>197</v>
      </c>
      <c r="I32" s="156"/>
      <c r="J32" s="63">
        <v>225999.99999999997</v>
      </c>
      <c r="K32" s="42">
        <f>J32*1.095</f>
        <v>247469.99999999997</v>
      </c>
      <c r="L32" s="39"/>
      <c r="M32" s="179"/>
      <c r="N32" s="224"/>
      <c r="O32" s="13"/>
      <c r="P32" s="180"/>
    </row>
    <row r="33" spans="2:15" x14ac:dyDescent="0.3">
      <c r="B33" s="281"/>
      <c r="C33" s="60">
        <v>2500</v>
      </c>
      <c r="D33" s="61">
        <v>2500000</v>
      </c>
      <c r="E33" s="50">
        <f t="shared" si="3"/>
        <v>3050000</v>
      </c>
      <c r="F33" s="282"/>
      <c r="H33" s="62" t="s">
        <v>65</v>
      </c>
      <c r="I33" s="278" t="s">
        <v>184</v>
      </c>
      <c r="J33" s="278"/>
      <c r="K33" s="278" t="s">
        <v>92</v>
      </c>
      <c r="L33" s="278"/>
      <c r="M33" s="44" t="s">
        <v>52</v>
      </c>
      <c r="N33" s="157"/>
      <c r="O33" s="164"/>
    </row>
    <row r="34" spans="2:15" ht="49.5" x14ac:dyDescent="0.3">
      <c r="B34" s="290"/>
      <c r="C34" s="290"/>
      <c r="D34" s="290"/>
      <c r="E34" s="290"/>
      <c r="F34" s="290"/>
      <c r="H34" s="81" t="s">
        <v>66</v>
      </c>
      <c r="I34" s="46" t="s">
        <v>93</v>
      </c>
      <c r="J34" s="23" t="s">
        <v>53</v>
      </c>
      <c r="K34" s="48" t="s">
        <v>300</v>
      </c>
      <c r="L34" s="45" t="s">
        <v>53</v>
      </c>
      <c r="M34" s="12"/>
      <c r="N34" s="157"/>
      <c r="O34" s="164"/>
    </row>
    <row r="35" spans="2:15" ht="16.5" customHeight="1" x14ac:dyDescent="0.3">
      <c r="B35" s="295" t="s">
        <v>61</v>
      </c>
      <c r="C35" s="296"/>
      <c r="D35" s="47" t="s">
        <v>50</v>
      </c>
      <c r="E35" s="47" t="s">
        <v>51</v>
      </c>
      <c r="F35" s="297" t="s">
        <v>52</v>
      </c>
      <c r="H35" s="21" t="s">
        <v>301</v>
      </c>
      <c r="I35" s="46"/>
      <c r="J35" s="23"/>
      <c r="K35" s="165">
        <v>83.32</v>
      </c>
      <c r="L35" s="45"/>
      <c r="M35" s="12"/>
      <c r="N35" s="157" t="s">
        <v>186</v>
      </c>
    </row>
    <row r="36" spans="2:15" ht="16.5" customHeight="1" x14ac:dyDescent="0.3">
      <c r="B36" s="48" t="s">
        <v>88</v>
      </c>
      <c r="C36" s="48" t="s">
        <v>32</v>
      </c>
      <c r="D36" s="48" t="s">
        <v>86</v>
      </c>
      <c r="E36" s="48" t="s">
        <v>87</v>
      </c>
      <c r="F36" s="298"/>
      <c r="H36" s="83" t="s">
        <v>188</v>
      </c>
      <c r="I36" s="38"/>
      <c r="J36" s="38"/>
      <c r="K36" s="165">
        <v>0.52829999999999999</v>
      </c>
      <c r="L36" s="45"/>
      <c r="M36" s="12"/>
      <c r="N36" s="157" t="s">
        <v>189</v>
      </c>
    </row>
    <row r="37" spans="2:15" x14ac:dyDescent="0.3">
      <c r="B37" s="291" t="s">
        <v>120</v>
      </c>
      <c r="C37" s="56" t="s">
        <v>16</v>
      </c>
      <c r="D37" s="49">
        <f>E37/1.22</f>
        <v>3519.6721311475412</v>
      </c>
      <c r="E37" s="49">
        <v>4294</v>
      </c>
      <c r="F37" s="86"/>
      <c r="H37" s="21"/>
      <c r="I37" s="90"/>
      <c r="J37" s="91"/>
      <c r="K37" s="67"/>
      <c r="L37" s="166"/>
      <c r="M37" s="12"/>
      <c r="N37" s="157"/>
    </row>
    <row r="38" spans="2:15" ht="16.5" customHeight="1" x14ac:dyDescent="0.3">
      <c r="B38" s="292"/>
      <c r="C38" s="56" t="s">
        <v>17</v>
      </c>
      <c r="D38" s="49">
        <f t="shared" ref="D38:D39" si="6">E38/1.22</f>
        <v>6483.6065573770484</v>
      </c>
      <c r="E38" s="49">
        <v>7909.9999999999991</v>
      </c>
      <c r="F38" s="87"/>
    </row>
    <row r="39" spans="2:15" x14ac:dyDescent="0.3">
      <c r="B39" s="293"/>
      <c r="C39" s="56" t="s">
        <v>18</v>
      </c>
      <c r="D39" s="49">
        <f t="shared" si="6"/>
        <v>12040.983606557376</v>
      </c>
      <c r="E39" s="49">
        <v>14689.999999999998</v>
      </c>
      <c r="F39" s="88"/>
      <c r="K39" s="31"/>
    </row>
    <row r="40" spans="2:15" x14ac:dyDescent="0.3">
      <c r="B40" s="294"/>
      <c r="C40" s="294"/>
      <c r="D40" s="294"/>
      <c r="E40" s="294"/>
      <c r="F40" s="294"/>
      <c r="K40" s="31"/>
    </row>
    <row r="41" spans="2:15" x14ac:dyDescent="0.3">
      <c r="B41" s="295" t="s">
        <v>64</v>
      </c>
      <c r="C41" s="296"/>
      <c r="D41" s="47" t="s">
        <v>50</v>
      </c>
      <c r="E41" s="47" t="s">
        <v>51</v>
      </c>
      <c r="F41" s="297" t="s">
        <v>52</v>
      </c>
    </row>
    <row r="42" spans="2:15" ht="33" x14ac:dyDescent="0.3">
      <c r="B42" s="48" t="s">
        <v>89</v>
      </c>
      <c r="C42" s="48" t="s">
        <v>32</v>
      </c>
      <c r="D42" s="48" t="s">
        <v>86</v>
      </c>
      <c r="E42" s="48" t="s">
        <v>87</v>
      </c>
      <c r="F42" s="298"/>
      <c r="H42" s="85"/>
    </row>
    <row r="43" spans="2:15" x14ac:dyDescent="0.3">
      <c r="B43" s="24" t="s">
        <v>90</v>
      </c>
      <c r="C43" s="56" t="s">
        <v>98</v>
      </c>
      <c r="D43" s="51">
        <f>E43/1.22</f>
        <v>5557.377049180327</v>
      </c>
      <c r="E43" s="51">
        <v>6779.9999999999991</v>
      </c>
      <c r="F43" s="89"/>
    </row>
    <row r="44" spans="2:15" x14ac:dyDescent="0.3">
      <c r="B44" s="24" t="s">
        <v>90</v>
      </c>
      <c r="C44" s="56" t="s">
        <v>99</v>
      </c>
      <c r="D44" s="51">
        <f>E44/1.22</f>
        <v>9262.2950819672114</v>
      </c>
      <c r="E44" s="51">
        <v>11299.999999999998</v>
      </c>
      <c r="F44" s="88"/>
    </row>
    <row r="45" spans="2:15" x14ac:dyDescent="0.3">
      <c r="B45" s="289"/>
      <c r="C45" s="289"/>
      <c r="D45" s="289"/>
      <c r="E45" s="289"/>
      <c r="F45" s="289"/>
    </row>
    <row r="51" ht="16.5" customHeight="1" x14ac:dyDescent="0.3"/>
  </sheetData>
  <mergeCells count="37">
    <mergeCell ref="K33:L33"/>
    <mergeCell ref="K17:L17"/>
    <mergeCell ref="K23:L23"/>
    <mergeCell ref="B2:F2"/>
    <mergeCell ref="B4:C4"/>
    <mergeCell ref="B3:F3"/>
    <mergeCell ref="H3:M3"/>
    <mergeCell ref="H4:L4"/>
    <mergeCell ref="H2:M2"/>
    <mergeCell ref="B6:B8"/>
    <mergeCell ref="B9:B11"/>
    <mergeCell ref="F4:F5"/>
    <mergeCell ref="I11:J11"/>
    <mergeCell ref="H10:M10"/>
    <mergeCell ref="M5:M9"/>
    <mergeCell ref="I9:L9"/>
    <mergeCell ref="B45:F45"/>
    <mergeCell ref="B34:F34"/>
    <mergeCell ref="B37:B39"/>
    <mergeCell ref="B40:F40"/>
    <mergeCell ref="B41:C41"/>
    <mergeCell ref="F41:F42"/>
    <mergeCell ref="B35:C35"/>
    <mergeCell ref="F35:F36"/>
    <mergeCell ref="K11:L11"/>
    <mergeCell ref="I5:L5"/>
    <mergeCell ref="I6:L6"/>
    <mergeCell ref="I7:L7"/>
    <mergeCell ref="I8:L8"/>
    <mergeCell ref="F6:F8"/>
    <mergeCell ref="B13:B14"/>
    <mergeCell ref="B15:B16"/>
    <mergeCell ref="I33:J33"/>
    <mergeCell ref="I17:J17"/>
    <mergeCell ref="I23:J23"/>
    <mergeCell ref="B19:B33"/>
    <mergeCell ref="F19:F33"/>
  </mergeCells>
  <phoneticPr fontId="30" type="noConversion"/>
  <hyperlinks>
    <hyperlink ref="N35" r:id="rId1" xr:uid="{8521A2B9-DC80-48F1-A10D-B0717A9CACC0}"/>
    <hyperlink ref="N36" r:id="rId2" xr:uid="{B79BE797-B609-47C5-8E56-B763CB468923}"/>
    <hyperlink ref="N14" r:id="rId3" xr:uid="{73F4A193-CDBE-4B4E-8691-C1C857CA6ED7}"/>
    <hyperlink ref="N13" r:id="rId4" xr:uid="{2C850612-535A-4F96-8098-48C4513413EA}"/>
    <hyperlink ref="N15" r:id="rId5" xr:uid="{27354D8D-CE49-472E-AA80-BA5DA606BAAD}"/>
    <hyperlink ref="N20" r:id="rId6" xr:uid="{E7B35ABA-E198-47DD-A57F-0C47C12D3D7A}"/>
    <hyperlink ref="N19" r:id="rId7" xr:uid="{46290410-0DF4-4F94-8BC0-9FA5C56CF07D}"/>
    <hyperlink ref="N21" r:id="rId8" xr:uid="{F0E53E67-4F8E-41B3-9AF8-8BB7FCF7D446}"/>
    <hyperlink ref="N8" r:id="rId9" xr:uid="{37608D26-13DE-4AA6-87F5-195AF1957C06}"/>
    <hyperlink ref="N9" r:id="rId10" xr:uid="{642377C6-4612-404D-9C41-CFB5F0ACFF81}"/>
  </hyperlinks>
  <pageMargins left="0.7" right="0.7" top="0.75" bottom="0.75" header="0.3" footer="0.3"/>
  <pageSetup paperSize="66"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16"/>
  <sheetViews>
    <sheetView workbookViewId="0">
      <selection activeCell="J16" sqref="J16"/>
    </sheetView>
  </sheetViews>
  <sheetFormatPr defaultColWidth="8.85546875" defaultRowHeight="12.75" x14ac:dyDescent="0.2"/>
  <cols>
    <col min="1" max="1" width="2.7109375" style="1" customWidth="1"/>
    <col min="2" max="2" width="20.28515625" style="1" customWidth="1"/>
    <col min="3" max="10" width="15.7109375" style="1" customWidth="1"/>
    <col min="11" max="11" width="13.7109375" style="1" customWidth="1"/>
    <col min="12" max="16384" width="8.85546875" style="1"/>
  </cols>
  <sheetData>
    <row r="1" spans="2:10" ht="13.5" thickBot="1" x14ac:dyDescent="0.25"/>
    <row r="2" spans="2:10" ht="14.45" customHeight="1" thickBot="1" x14ac:dyDescent="0.25">
      <c r="B2" s="318" t="s">
        <v>127</v>
      </c>
      <c r="C2" s="319"/>
      <c r="D2" s="319"/>
      <c r="E2" s="319"/>
      <c r="F2" s="319"/>
      <c r="G2" s="319"/>
      <c r="H2" s="319"/>
      <c r="I2" s="319"/>
      <c r="J2" s="320"/>
    </row>
    <row r="3" spans="2:10" ht="51" customHeight="1" x14ac:dyDescent="0.2">
      <c r="B3" s="323" t="s">
        <v>20</v>
      </c>
      <c r="C3" s="418" t="s">
        <v>129</v>
      </c>
      <c r="D3" s="418" t="s">
        <v>1</v>
      </c>
      <c r="E3" s="107" t="s">
        <v>10</v>
      </c>
      <c r="F3" s="107" t="s">
        <v>12</v>
      </c>
      <c r="G3" s="107" t="s">
        <v>128</v>
      </c>
      <c r="H3" s="107" t="s">
        <v>28</v>
      </c>
      <c r="I3" s="107" t="s">
        <v>33</v>
      </c>
      <c r="J3" s="2" t="s">
        <v>34</v>
      </c>
    </row>
    <row r="4" spans="2:10" x14ac:dyDescent="0.2">
      <c r="B4" s="383"/>
      <c r="C4" s="384"/>
      <c r="D4" s="384"/>
      <c r="E4" s="122" t="s">
        <v>11</v>
      </c>
      <c r="F4" s="122" t="s">
        <v>13</v>
      </c>
      <c r="G4" s="122" t="s">
        <v>7</v>
      </c>
      <c r="H4" s="122" t="s">
        <v>7</v>
      </c>
      <c r="I4" s="122" t="s">
        <v>7</v>
      </c>
      <c r="J4" s="97" t="s">
        <v>7</v>
      </c>
    </row>
    <row r="5" spans="2:10" x14ac:dyDescent="0.2">
      <c r="B5" s="128" t="s">
        <v>163</v>
      </c>
      <c r="C5" s="4" t="s">
        <v>16</v>
      </c>
      <c r="D5" s="96">
        <v>1</v>
      </c>
      <c r="E5" s="96">
        <v>1</v>
      </c>
      <c r="F5" s="10">
        <f>PODLAGE!$E$43</f>
        <v>6779.9999999999991</v>
      </c>
      <c r="G5" s="10">
        <f>E5*F5</f>
        <v>6779.9999999999991</v>
      </c>
      <c r="H5" s="115">
        <f>SUM(G5)</f>
        <v>6779.9999999999991</v>
      </c>
      <c r="I5" s="10">
        <f>(PODLAGE!$K$35*20*D5)+(PODLAGE!$I$9*PODLAGE!$K$36*E5*20)</f>
        <v>2294.0203999999999</v>
      </c>
      <c r="J5" s="117">
        <f>SUM(H5:I5)</f>
        <v>9074.0203999999994</v>
      </c>
    </row>
    <row r="6" spans="2:10" x14ac:dyDescent="0.2">
      <c r="B6" s="128" t="s">
        <v>168</v>
      </c>
      <c r="C6" s="4" t="s">
        <v>16</v>
      </c>
      <c r="D6" s="96">
        <v>4</v>
      </c>
      <c r="E6" s="96">
        <v>4</v>
      </c>
      <c r="F6" s="10">
        <f>PODLAGE!$E$43</f>
        <v>6779.9999999999991</v>
      </c>
      <c r="G6" s="10">
        <f t="shared" ref="G6" si="0">E6*F6</f>
        <v>27119.999999999996</v>
      </c>
      <c r="H6" s="115">
        <f t="shared" ref="H6" si="1">SUM(G6)</f>
        <v>27119.999999999996</v>
      </c>
      <c r="I6" s="10">
        <f>(PODLAGE!$K$35*20*D6)+(PODLAGE!$I$9*PODLAGE!$K$36*E6*20)</f>
        <v>9176.0815999999995</v>
      </c>
      <c r="J6" s="117">
        <f t="shared" ref="J6" si="2">SUM(H6:I6)</f>
        <v>36296.081599999998</v>
      </c>
    </row>
    <row r="7" spans="2:10" x14ac:dyDescent="0.2">
      <c r="B7" s="193" t="s">
        <v>170</v>
      </c>
      <c r="C7" s="4" t="s">
        <v>16</v>
      </c>
      <c r="D7" s="96">
        <v>5</v>
      </c>
      <c r="E7" s="96">
        <v>5</v>
      </c>
      <c r="F7" s="10">
        <f>PODLAGE!$E$43</f>
        <v>6779.9999999999991</v>
      </c>
      <c r="G7" s="10">
        <f t="shared" ref="G7:G13" si="3">E7*F7</f>
        <v>33899.999999999993</v>
      </c>
      <c r="H7" s="115">
        <f t="shared" ref="H7:H13" si="4">SUM(G7)</f>
        <v>33899.999999999993</v>
      </c>
      <c r="I7" s="10">
        <f>(PODLAGE!$K$35*20*D7)+(PODLAGE!$I$9*PODLAGE!$K$36*E7*20)</f>
        <v>11470.101999999999</v>
      </c>
      <c r="J7" s="117">
        <f t="shared" ref="J7:J13" si="5">SUM(H7:I7)</f>
        <v>45370.101999999992</v>
      </c>
    </row>
    <row r="8" spans="2:10" x14ac:dyDescent="0.2">
      <c r="B8" s="193" t="s">
        <v>171</v>
      </c>
      <c r="C8" s="4" t="s">
        <v>16</v>
      </c>
      <c r="D8" s="96">
        <v>2</v>
      </c>
      <c r="E8" s="96">
        <v>2</v>
      </c>
      <c r="F8" s="10">
        <f>PODLAGE!$E$43</f>
        <v>6779.9999999999991</v>
      </c>
      <c r="G8" s="10">
        <f t="shared" si="3"/>
        <v>13559.999999999998</v>
      </c>
      <c r="H8" s="115">
        <f t="shared" si="4"/>
        <v>13559.999999999998</v>
      </c>
      <c r="I8" s="10">
        <f>(PODLAGE!$K$35*20*D8)+(PODLAGE!$I$9*PODLAGE!$K$36*E8*20)</f>
        <v>4588.0407999999998</v>
      </c>
      <c r="J8" s="117">
        <f t="shared" si="5"/>
        <v>18148.040799999999</v>
      </c>
    </row>
    <row r="9" spans="2:10" x14ac:dyDescent="0.2">
      <c r="B9" s="193" t="s">
        <v>172</v>
      </c>
      <c r="C9" s="4" t="s">
        <v>16</v>
      </c>
      <c r="D9" s="96">
        <v>1</v>
      </c>
      <c r="E9" s="96">
        <v>1</v>
      </c>
      <c r="F9" s="10">
        <f>PODLAGE!$E$43</f>
        <v>6779.9999999999991</v>
      </c>
      <c r="G9" s="10">
        <f t="shared" si="3"/>
        <v>6779.9999999999991</v>
      </c>
      <c r="H9" s="115">
        <f t="shared" si="4"/>
        <v>6779.9999999999991</v>
      </c>
      <c r="I9" s="10">
        <f>(PODLAGE!$K$35*20*D9)+(PODLAGE!$I$9*PODLAGE!$K$36*E9*20)</f>
        <v>2294.0203999999999</v>
      </c>
      <c r="J9" s="117">
        <f t="shared" si="5"/>
        <v>9074.0203999999994</v>
      </c>
    </row>
    <row r="10" spans="2:10" x14ac:dyDescent="0.2">
      <c r="B10" s="193" t="s">
        <v>174</v>
      </c>
      <c r="C10" s="4" t="s">
        <v>16</v>
      </c>
      <c r="D10" s="96">
        <v>2</v>
      </c>
      <c r="E10" s="96">
        <v>2</v>
      </c>
      <c r="F10" s="10">
        <f>PODLAGE!$E$43</f>
        <v>6779.9999999999991</v>
      </c>
      <c r="G10" s="10">
        <f t="shared" si="3"/>
        <v>13559.999999999998</v>
      </c>
      <c r="H10" s="115">
        <f t="shared" si="4"/>
        <v>13559.999999999998</v>
      </c>
      <c r="I10" s="10">
        <f>(PODLAGE!$K$35*20*D10)+(PODLAGE!$I$9*PODLAGE!$K$36*E10*20)</f>
        <v>4588.0407999999998</v>
      </c>
      <c r="J10" s="117">
        <f t="shared" si="5"/>
        <v>18148.040799999999</v>
      </c>
    </row>
    <row r="11" spans="2:10" x14ac:dyDescent="0.2">
      <c r="B11" s="193" t="s">
        <v>176</v>
      </c>
      <c r="C11" s="4" t="s">
        <v>16</v>
      </c>
      <c r="D11" s="96">
        <v>2</v>
      </c>
      <c r="E11" s="96">
        <v>2</v>
      </c>
      <c r="F11" s="10">
        <f>PODLAGE!$E$43</f>
        <v>6779.9999999999991</v>
      </c>
      <c r="G11" s="10">
        <f t="shared" si="3"/>
        <v>13559.999999999998</v>
      </c>
      <c r="H11" s="115">
        <f t="shared" si="4"/>
        <v>13559.999999999998</v>
      </c>
      <c r="I11" s="10">
        <f>(PODLAGE!$K$35*20*D11)+(PODLAGE!$I$9*PODLAGE!$K$36*E11*20)</f>
        <v>4588.0407999999998</v>
      </c>
      <c r="J11" s="117">
        <f t="shared" si="5"/>
        <v>18148.040799999999</v>
      </c>
    </row>
    <row r="12" spans="2:10" x14ac:dyDescent="0.2">
      <c r="B12" s="193" t="s">
        <v>177</v>
      </c>
      <c r="C12" s="4" t="s">
        <v>16</v>
      </c>
      <c r="D12" s="96">
        <v>3</v>
      </c>
      <c r="E12" s="96">
        <v>3</v>
      </c>
      <c r="F12" s="10">
        <f>PODLAGE!$E$43</f>
        <v>6779.9999999999991</v>
      </c>
      <c r="G12" s="10">
        <f t="shared" si="3"/>
        <v>20339.999999999996</v>
      </c>
      <c r="H12" s="115">
        <f t="shared" si="4"/>
        <v>20339.999999999996</v>
      </c>
      <c r="I12" s="10">
        <f>(PODLAGE!$K$35*20*D12)+(PODLAGE!$I$9*PODLAGE!$K$36*E12*20)</f>
        <v>6882.0612000000001</v>
      </c>
      <c r="J12" s="117">
        <f t="shared" si="5"/>
        <v>27222.061199999996</v>
      </c>
    </row>
    <row r="13" spans="2:10" ht="13.5" thickBot="1" x14ac:dyDescent="0.25">
      <c r="B13" s="129" t="s">
        <v>178</v>
      </c>
      <c r="C13" s="25" t="s">
        <v>16</v>
      </c>
      <c r="D13" s="130">
        <v>1</v>
      </c>
      <c r="E13" s="130">
        <v>1</v>
      </c>
      <c r="F13" s="72">
        <f>PODLAGE!$E$43</f>
        <v>6779.9999999999991</v>
      </c>
      <c r="G13" s="72">
        <f t="shared" si="3"/>
        <v>6779.9999999999991</v>
      </c>
      <c r="H13" s="116">
        <f t="shared" si="4"/>
        <v>6779.9999999999991</v>
      </c>
      <c r="I13" s="72">
        <f>(PODLAGE!$K$35*20*D13)+(PODLAGE!$I$9*PODLAGE!$K$36*E13*20)</f>
        <v>2294.0203999999999</v>
      </c>
      <c r="J13" s="118">
        <f t="shared" si="5"/>
        <v>9074.0203999999994</v>
      </c>
    </row>
    <row r="15" spans="2:10" x14ac:dyDescent="0.2">
      <c r="B15" s="1" t="s">
        <v>208</v>
      </c>
    </row>
    <row r="16" spans="2:10" x14ac:dyDescent="0.2">
      <c r="B16" s="190" t="s">
        <v>25</v>
      </c>
      <c r="C16" s="95"/>
      <c r="D16" s="95">
        <f>SUM(D5:D13)</f>
        <v>21</v>
      </c>
      <c r="E16" s="95">
        <f t="shared" ref="E16:J16" si="6">SUM(E5:E13)</f>
        <v>21</v>
      </c>
      <c r="F16" s="95"/>
      <c r="G16" s="95"/>
      <c r="H16" s="192">
        <f t="shared" si="6"/>
        <v>142379.99999999997</v>
      </c>
      <c r="I16" s="192">
        <f t="shared" si="6"/>
        <v>48174.428399999997</v>
      </c>
      <c r="J16" s="192">
        <f t="shared" si="6"/>
        <v>190554.42839999998</v>
      </c>
    </row>
  </sheetData>
  <mergeCells count="4">
    <mergeCell ref="B2:J2"/>
    <mergeCell ref="B3:B4"/>
    <mergeCell ref="C3:C4"/>
    <mergeCell ref="D3:D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7"/>
  <sheetViews>
    <sheetView workbookViewId="0">
      <selection activeCell="K5" sqref="K5"/>
    </sheetView>
  </sheetViews>
  <sheetFormatPr defaultColWidth="8.85546875" defaultRowHeight="12.75" x14ac:dyDescent="0.2"/>
  <cols>
    <col min="1" max="1" width="2.7109375" style="1" customWidth="1"/>
    <col min="2" max="2" width="32.42578125" style="1" customWidth="1"/>
    <col min="3" max="3" width="20.28515625" style="1" customWidth="1"/>
    <col min="4" max="11" width="15.7109375" style="1" customWidth="1"/>
    <col min="12" max="12" width="13.7109375" style="1" customWidth="1"/>
    <col min="13" max="16384" width="8.85546875" style="1"/>
  </cols>
  <sheetData>
    <row r="1" spans="2:11" ht="13.5" thickBot="1" x14ac:dyDescent="0.25"/>
    <row r="2" spans="2:11" ht="14.45" customHeight="1" thickBot="1" x14ac:dyDescent="0.25">
      <c r="B2" s="318" t="s">
        <v>124</v>
      </c>
      <c r="C2" s="319"/>
      <c r="D2" s="319"/>
      <c r="E2" s="319"/>
      <c r="F2" s="319"/>
      <c r="G2" s="319"/>
      <c r="H2" s="319"/>
      <c r="I2" s="319"/>
      <c r="J2" s="319"/>
      <c r="K2" s="320"/>
    </row>
    <row r="3" spans="2:11" ht="51" x14ac:dyDescent="0.2">
      <c r="B3" s="323" t="s">
        <v>0</v>
      </c>
      <c r="C3" s="321" t="s">
        <v>20</v>
      </c>
      <c r="D3" s="321" t="s">
        <v>21</v>
      </c>
      <c r="E3" s="331" t="s">
        <v>38</v>
      </c>
      <c r="F3" s="107" t="s">
        <v>2</v>
      </c>
      <c r="G3" s="107" t="s">
        <v>19</v>
      </c>
      <c r="H3" s="107" t="s">
        <v>6</v>
      </c>
      <c r="I3" s="107" t="s">
        <v>24</v>
      </c>
      <c r="J3" s="107" t="s">
        <v>33</v>
      </c>
      <c r="K3" s="2" t="s">
        <v>34</v>
      </c>
    </row>
    <row r="4" spans="2:11" x14ac:dyDescent="0.2">
      <c r="B4" s="324"/>
      <c r="C4" s="322"/>
      <c r="D4" s="322"/>
      <c r="E4" s="338"/>
      <c r="F4" s="108" t="s">
        <v>3</v>
      </c>
      <c r="G4" s="108" t="s">
        <v>5</v>
      </c>
      <c r="H4" s="108" t="s">
        <v>7</v>
      </c>
      <c r="I4" s="108" t="s">
        <v>7</v>
      </c>
      <c r="J4" s="108" t="s">
        <v>7</v>
      </c>
      <c r="K4" s="35" t="s">
        <v>7</v>
      </c>
    </row>
    <row r="5" spans="2:11" ht="49.5" customHeight="1" thickBot="1" x14ac:dyDescent="0.25">
      <c r="B5" s="111" t="s">
        <v>125</v>
      </c>
      <c r="C5" s="130" t="s">
        <v>14</v>
      </c>
      <c r="D5" s="131">
        <v>0</v>
      </c>
      <c r="E5" s="131">
        <v>0</v>
      </c>
      <c r="F5" s="125" t="s">
        <v>14</v>
      </c>
      <c r="G5" s="125" t="s">
        <v>14</v>
      </c>
      <c r="H5" s="125" t="s">
        <v>14</v>
      </c>
      <c r="I5" s="123">
        <v>0</v>
      </c>
      <c r="J5" s="125">
        <v>0</v>
      </c>
      <c r="K5" s="132">
        <v>0</v>
      </c>
    </row>
    <row r="7" spans="2:11" x14ac:dyDescent="0.2">
      <c r="B7" s="1" t="s">
        <v>208</v>
      </c>
      <c r="D7" s="95">
        <f>SUM(D5)</f>
        <v>0</v>
      </c>
      <c r="E7" s="95">
        <f>SUM(E5)</f>
        <v>0</v>
      </c>
    </row>
  </sheetData>
  <mergeCells count="5">
    <mergeCell ref="B2:K2"/>
    <mergeCell ref="B3:B4"/>
    <mergeCell ref="C3:C4"/>
    <mergeCell ref="D3:D4"/>
    <mergeCell ref="E3:E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7"/>
  <sheetViews>
    <sheetView workbookViewId="0">
      <selection activeCell="K5" sqref="K5"/>
    </sheetView>
  </sheetViews>
  <sheetFormatPr defaultColWidth="8.85546875" defaultRowHeight="12.75" x14ac:dyDescent="0.2"/>
  <cols>
    <col min="1" max="1" width="2.7109375" style="1" customWidth="1"/>
    <col min="2" max="2" width="32.42578125" style="1" customWidth="1"/>
    <col min="3" max="3" width="20.28515625" style="1" customWidth="1"/>
    <col min="4" max="11" width="15.7109375" style="1" customWidth="1"/>
    <col min="12" max="12" width="13.7109375" style="1" customWidth="1"/>
    <col min="13" max="16384" width="8.85546875" style="1"/>
  </cols>
  <sheetData>
    <row r="1" spans="2:11" ht="13.5" thickBot="1" x14ac:dyDescent="0.25"/>
    <row r="2" spans="2:11" ht="14.45" customHeight="1" thickBot="1" x14ac:dyDescent="0.25">
      <c r="B2" s="318" t="s">
        <v>150</v>
      </c>
      <c r="C2" s="319"/>
      <c r="D2" s="319"/>
      <c r="E2" s="319"/>
      <c r="F2" s="319"/>
      <c r="G2" s="319"/>
      <c r="H2" s="319"/>
      <c r="I2" s="319"/>
      <c r="J2" s="319"/>
      <c r="K2" s="320"/>
    </row>
    <row r="3" spans="2:11" ht="51" x14ac:dyDescent="0.2">
      <c r="B3" s="323" t="s">
        <v>0</v>
      </c>
      <c r="C3" s="321" t="s">
        <v>20</v>
      </c>
      <c r="D3" s="321" t="s">
        <v>21</v>
      </c>
      <c r="E3" s="331" t="s">
        <v>38</v>
      </c>
      <c r="F3" s="107" t="s">
        <v>2</v>
      </c>
      <c r="G3" s="107" t="s">
        <v>19</v>
      </c>
      <c r="H3" s="107" t="s">
        <v>6</v>
      </c>
      <c r="I3" s="107" t="s">
        <v>24</v>
      </c>
      <c r="J3" s="107" t="s">
        <v>33</v>
      </c>
      <c r="K3" s="2" t="s">
        <v>34</v>
      </c>
    </row>
    <row r="4" spans="2:11" x14ac:dyDescent="0.2">
      <c r="B4" s="324"/>
      <c r="C4" s="322"/>
      <c r="D4" s="322"/>
      <c r="E4" s="338"/>
      <c r="F4" s="108" t="s">
        <v>3</v>
      </c>
      <c r="G4" s="108" t="s">
        <v>5</v>
      </c>
      <c r="H4" s="108" t="s">
        <v>7</v>
      </c>
      <c r="I4" s="108" t="s">
        <v>7</v>
      </c>
      <c r="J4" s="108" t="s">
        <v>7</v>
      </c>
      <c r="K4" s="35" t="s">
        <v>7</v>
      </c>
    </row>
    <row r="5" spans="2:11" ht="49.5" customHeight="1" thickBot="1" x14ac:dyDescent="0.25">
      <c r="B5" s="111" t="s">
        <v>152</v>
      </c>
      <c r="C5" s="130" t="s">
        <v>14</v>
      </c>
      <c r="D5" s="131">
        <v>0</v>
      </c>
      <c r="E5" s="131">
        <v>0</v>
      </c>
      <c r="F5" s="125" t="s">
        <v>14</v>
      </c>
      <c r="G5" s="125" t="s">
        <v>14</v>
      </c>
      <c r="H5" s="125" t="s">
        <v>14</v>
      </c>
      <c r="I5" s="123">
        <v>0</v>
      </c>
      <c r="J5" s="125">
        <v>0</v>
      </c>
      <c r="K5" s="132">
        <v>0</v>
      </c>
    </row>
    <row r="7" spans="2:11" x14ac:dyDescent="0.2">
      <c r="B7" s="1" t="s">
        <v>208</v>
      </c>
      <c r="D7" s="95">
        <v>0</v>
      </c>
      <c r="E7" s="95">
        <f>SUM(E5:E5)</f>
        <v>0</v>
      </c>
    </row>
  </sheetData>
  <mergeCells count="5">
    <mergeCell ref="B2:K2"/>
    <mergeCell ref="B3:B4"/>
    <mergeCell ref="C3:C4"/>
    <mergeCell ref="D3:D4"/>
    <mergeCell ref="E3:E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O86"/>
  <sheetViews>
    <sheetView workbookViewId="0">
      <selection activeCell="B51" sqref="B51:B53"/>
    </sheetView>
  </sheetViews>
  <sheetFormatPr defaultColWidth="9.140625" defaultRowHeight="12.75" x14ac:dyDescent="0.2"/>
  <cols>
    <col min="1" max="1" width="2.85546875" style="134" customWidth="1"/>
    <col min="2" max="13" width="17.140625" style="134" customWidth="1"/>
    <col min="14" max="14" width="9.140625" style="134"/>
    <col min="15" max="15" width="53.140625" style="134" customWidth="1"/>
    <col min="16" max="16384" width="9.140625" style="134"/>
  </cols>
  <sheetData>
    <row r="2" spans="2:15" ht="63.75" x14ac:dyDescent="0.2">
      <c r="B2" s="105" t="s">
        <v>22</v>
      </c>
      <c r="C2" s="105" t="s">
        <v>130</v>
      </c>
      <c r="D2" s="105" t="s">
        <v>131</v>
      </c>
      <c r="E2" s="106" t="s">
        <v>132</v>
      </c>
      <c r="F2" s="105" t="s">
        <v>133</v>
      </c>
      <c r="G2" s="105" t="s">
        <v>134</v>
      </c>
      <c r="H2" s="105" t="s">
        <v>33</v>
      </c>
      <c r="I2" s="105" t="s">
        <v>34</v>
      </c>
      <c r="J2" s="105" t="s">
        <v>135</v>
      </c>
      <c r="K2" s="105" t="s">
        <v>320</v>
      </c>
      <c r="L2" s="105" t="s">
        <v>136</v>
      </c>
      <c r="M2" s="105" t="s">
        <v>137</v>
      </c>
    </row>
    <row r="3" spans="2:15" ht="15" customHeight="1" x14ac:dyDescent="0.2">
      <c r="B3" s="419" t="s">
        <v>163</v>
      </c>
      <c r="C3" s="133" t="s">
        <v>143</v>
      </c>
      <c r="D3" s="133" t="s">
        <v>243</v>
      </c>
      <c r="E3" s="8">
        <v>702</v>
      </c>
      <c r="F3" s="14">
        <v>129</v>
      </c>
      <c r="G3" s="135" t="s">
        <v>145</v>
      </c>
      <c r="H3" s="135" t="s">
        <v>145</v>
      </c>
      <c r="I3" s="135" t="s">
        <v>145</v>
      </c>
      <c r="J3" s="139" t="s">
        <v>238</v>
      </c>
      <c r="K3" s="150" t="s">
        <v>159</v>
      </c>
      <c r="L3" s="133" t="s">
        <v>14</v>
      </c>
      <c r="M3" s="133" t="s">
        <v>14</v>
      </c>
    </row>
    <row r="4" spans="2:15" ht="25.5" x14ac:dyDescent="0.2">
      <c r="B4" s="419"/>
      <c r="C4" s="133" t="s">
        <v>143</v>
      </c>
      <c r="D4" s="133" t="s">
        <v>142</v>
      </c>
      <c r="E4" s="8">
        <v>1</v>
      </c>
      <c r="F4" s="8">
        <v>1</v>
      </c>
      <c r="G4" s="149">
        <f>'Varianta 7 – E'!H5</f>
        <v>6779.9999999999991</v>
      </c>
      <c r="H4" s="149">
        <f>'Varianta 7 – E'!I5</f>
        <v>2294.0203999999999</v>
      </c>
      <c r="I4" s="149">
        <f>'Varianta 7 – E'!J5</f>
        <v>9074.0203999999994</v>
      </c>
      <c r="J4" s="139" t="s">
        <v>144</v>
      </c>
      <c r="K4" s="19" t="s">
        <v>309</v>
      </c>
      <c r="L4" s="133" t="s">
        <v>148</v>
      </c>
      <c r="M4" s="133" t="s">
        <v>14</v>
      </c>
      <c r="O4" s="138"/>
    </row>
    <row r="5" spans="2:15" x14ac:dyDescent="0.2">
      <c r="B5" s="419" t="s">
        <v>164</v>
      </c>
      <c r="C5" s="133" t="s">
        <v>143</v>
      </c>
      <c r="D5" s="133" t="s">
        <v>243</v>
      </c>
      <c r="E5" s="14">
        <v>182</v>
      </c>
      <c r="F5" s="14">
        <v>55</v>
      </c>
      <c r="G5" s="135" t="s">
        <v>145</v>
      </c>
      <c r="H5" s="135" t="s">
        <v>145</v>
      </c>
      <c r="I5" s="135" t="s">
        <v>145</v>
      </c>
      <c r="J5" s="139" t="s">
        <v>238</v>
      </c>
      <c r="K5" s="150" t="s">
        <v>159</v>
      </c>
      <c r="L5" s="133" t="s">
        <v>14</v>
      </c>
      <c r="M5" s="133" t="s">
        <v>14</v>
      </c>
    </row>
    <row r="6" spans="2:15" x14ac:dyDescent="0.2">
      <c r="B6" s="419"/>
      <c r="C6" s="133" t="s">
        <v>143</v>
      </c>
      <c r="D6" s="133" t="s">
        <v>141</v>
      </c>
      <c r="E6" s="8">
        <v>200</v>
      </c>
      <c r="F6" s="8">
        <v>1</v>
      </c>
      <c r="G6" s="135">
        <f>'Varianta 4 – D1'!H5</f>
        <v>175771.5</v>
      </c>
      <c r="H6" s="135">
        <f>'Varianta 4 – D1'!I5</f>
        <v>247469.99999999997</v>
      </c>
      <c r="I6" s="135">
        <f>'Varianta 4 – D1'!J5</f>
        <v>423241.5</v>
      </c>
      <c r="J6" s="139" t="s">
        <v>144</v>
      </c>
      <c r="K6" s="4" t="s">
        <v>146</v>
      </c>
      <c r="L6" s="133" t="s">
        <v>14</v>
      </c>
      <c r="M6" s="133" t="s">
        <v>14</v>
      </c>
    </row>
    <row r="7" spans="2:15" x14ac:dyDescent="0.2">
      <c r="B7" s="419" t="s">
        <v>161</v>
      </c>
      <c r="C7" s="133" t="s">
        <v>143</v>
      </c>
      <c r="D7" s="133" t="s">
        <v>68</v>
      </c>
      <c r="E7" s="8">
        <v>412</v>
      </c>
      <c r="F7" s="8">
        <v>43</v>
      </c>
      <c r="G7" s="135" t="s">
        <v>145</v>
      </c>
      <c r="H7" s="135" t="s">
        <v>145</v>
      </c>
      <c r="I7" s="135" t="s">
        <v>145</v>
      </c>
      <c r="J7" s="139" t="s">
        <v>238</v>
      </c>
      <c r="K7" s="4" t="s">
        <v>146</v>
      </c>
      <c r="L7" s="133" t="s">
        <v>14</v>
      </c>
      <c r="M7" s="133" t="s">
        <v>14</v>
      </c>
    </row>
    <row r="8" spans="2:15" x14ac:dyDescent="0.2">
      <c r="B8" s="419"/>
      <c r="C8" s="133" t="s">
        <v>143</v>
      </c>
      <c r="D8" s="133" t="s">
        <v>106</v>
      </c>
      <c r="E8" s="8">
        <v>67</v>
      </c>
      <c r="F8" s="14">
        <v>21</v>
      </c>
      <c r="G8" s="135" t="s">
        <v>145</v>
      </c>
      <c r="H8" s="135" t="s">
        <v>145</v>
      </c>
      <c r="I8" s="135" t="s">
        <v>145</v>
      </c>
      <c r="J8" s="139" t="s">
        <v>238</v>
      </c>
      <c r="K8" s="150" t="s">
        <v>159</v>
      </c>
      <c r="L8" s="133" t="s">
        <v>14</v>
      </c>
      <c r="M8" s="133" t="s">
        <v>157</v>
      </c>
    </row>
    <row r="9" spans="2:15" ht="15" customHeight="1" x14ac:dyDescent="0.2">
      <c r="B9" s="419"/>
      <c r="C9" s="133" t="s">
        <v>143</v>
      </c>
      <c r="D9" s="133" t="s">
        <v>72</v>
      </c>
      <c r="E9" s="8">
        <v>20</v>
      </c>
      <c r="F9" s="8">
        <v>4</v>
      </c>
      <c r="G9" s="135">
        <f>'Varianta 2 – B ali D'!Q190</f>
        <v>24408</v>
      </c>
      <c r="H9" s="135">
        <f>'Varianta 2 – B ali D'!R190</f>
        <v>48256.649999999994</v>
      </c>
      <c r="I9" s="135">
        <f>'Varianta 2 – B ali D'!S190</f>
        <v>72664.649999999994</v>
      </c>
      <c r="J9" s="139" t="s">
        <v>144</v>
      </c>
      <c r="K9" s="19" t="s">
        <v>309</v>
      </c>
      <c r="L9" s="133" t="s">
        <v>147</v>
      </c>
      <c r="M9" s="133" t="s">
        <v>153</v>
      </c>
    </row>
    <row r="10" spans="2:15" ht="25.5" x14ac:dyDescent="0.2">
      <c r="B10" s="419" t="s">
        <v>165</v>
      </c>
      <c r="C10" s="133" t="s">
        <v>143</v>
      </c>
      <c r="D10" s="133" t="s">
        <v>241</v>
      </c>
      <c r="E10" s="8">
        <v>707</v>
      </c>
      <c r="F10" s="8">
        <v>164</v>
      </c>
      <c r="G10" s="135" t="s">
        <v>145</v>
      </c>
      <c r="H10" s="135" t="s">
        <v>145</v>
      </c>
      <c r="I10" s="135" t="s">
        <v>145</v>
      </c>
      <c r="J10" s="139" t="s">
        <v>238</v>
      </c>
      <c r="K10" s="150" t="s">
        <v>159</v>
      </c>
      <c r="L10" s="133" t="s">
        <v>14</v>
      </c>
      <c r="M10" s="19" t="s">
        <v>315</v>
      </c>
    </row>
    <row r="11" spans="2:15" ht="25.5" x14ac:dyDescent="0.2">
      <c r="B11" s="419"/>
      <c r="C11" s="133" t="s">
        <v>143</v>
      </c>
      <c r="D11" s="133" t="s">
        <v>72</v>
      </c>
      <c r="E11" s="8">
        <v>7</v>
      </c>
      <c r="F11" s="8">
        <v>3</v>
      </c>
      <c r="G11" s="149">
        <f>'Varianta 2 – B ali D'!Q191+'Varianta 6 – D3'!H23</f>
        <v>12882</v>
      </c>
      <c r="H11" s="149">
        <f>'Varianta 2 – B ali D'!R191+'Varianta 6 – D3'!I23</f>
        <v>27840.375</v>
      </c>
      <c r="I11" s="149">
        <f>'Varianta 2 – B ali D'!S191+'Varianta 6 – D3'!J23</f>
        <v>40722.375</v>
      </c>
      <c r="J11" s="139" t="s">
        <v>144</v>
      </c>
      <c r="K11" s="19" t="s">
        <v>309</v>
      </c>
      <c r="L11" s="133" t="s">
        <v>147</v>
      </c>
      <c r="M11" s="133" t="s">
        <v>153</v>
      </c>
    </row>
    <row r="12" spans="2:15" ht="38.25" x14ac:dyDescent="0.2">
      <c r="B12" s="419" t="s">
        <v>166</v>
      </c>
      <c r="C12" s="133" t="s">
        <v>143</v>
      </c>
      <c r="D12" s="133" t="s">
        <v>241</v>
      </c>
      <c r="E12" s="8">
        <v>365</v>
      </c>
      <c r="F12" s="8">
        <v>101</v>
      </c>
      <c r="G12" s="135" t="s">
        <v>145</v>
      </c>
      <c r="H12" s="135" t="s">
        <v>145</v>
      </c>
      <c r="I12" s="135" t="s">
        <v>145</v>
      </c>
      <c r="J12" s="139" t="s">
        <v>238</v>
      </c>
      <c r="K12" s="150">
        <v>45291</v>
      </c>
      <c r="L12" s="133" t="s">
        <v>14</v>
      </c>
      <c r="M12" s="19" t="s">
        <v>316</v>
      </c>
    </row>
    <row r="13" spans="2:15" ht="25.5" x14ac:dyDescent="0.2">
      <c r="B13" s="419"/>
      <c r="C13" s="133" t="s">
        <v>143</v>
      </c>
      <c r="D13" s="133" t="s">
        <v>72</v>
      </c>
      <c r="E13" s="8">
        <v>43</v>
      </c>
      <c r="F13" s="8">
        <v>5</v>
      </c>
      <c r="G13" s="135">
        <f>'Varianta 2 – B ali D'!Q192</f>
        <v>45878</v>
      </c>
      <c r="H13" s="135">
        <f>'Varianta 2 – B ali D'!R192</f>
        <v>80922.689999999988</v>
      </c>
      <c r="I13" s="135">
        <f>'Varianta 2 – B ali D'!S192</f>
        <v>126800.68999999999</v>
      </c>
      <c r="J13" s="139" t="s">
        <v>144</v>
      </c>
      <c r="K13" s="19" t="s">
        <v>309</v>
      </c>
      <c r="L13" s="133" t="s">
        <v>147</v>
      </c>
      <c r="M13" s="133" t="s">
        <v>153</v>
      </c>
    </row>
    <row r="14" spans="2:15" x14ac:dyDescent="0.2">
      <c r="B14" s="419" t="s">
        <v>167</v>
      </c>
      <c r="C14" s="133" t="s">
        <v>143</v>
      </c>
      <c r="D14" s="133" t="s">
        <v>141</v>
      </c>
      <c r="E14" s="8">
        <v>7</v>
      </c>
      <c r="F14" s="8">
        <v>1</v>
      </c>
      <c r="G14" s="149">
        <f>'Varianta 2 – B ali D'!Q177</f>
        <v>7909.9999999999991</v>
      </c>
      <c r="H14" s="149">
        <f>'Varianta 2 – B ali D'!R177</f>
        <v>14848.199999999997</v>
      </c>
      <c r="I14" s="149">
        <f>'Varianta 2 – B ali D'!S177</f>
        <v>22758.199999999997</v>
      </c>
      <c r="J14" s="139" t="s">
        <v>144</v>
      </c>
      <c r="K14" s="4" t="s">
        <v>146</v>
      </c>
      <c r="L14" s="133" t="s">
        <v>14</v>
      </c>
      <c r="M14" s="133" t="s">
        <v>14</v>
      </c>
    </row>
    <row r="15" spans="2:15" x14ac:dyDescent="0.2">
      <c r="B15" s="419"/>
      <c r="C15" s="133" t="s">
        <v>143</v>
      </c>
      <c r="D15" s="133" t="s">
        <v>140</v>
      </c>
      <c r="E15" s="8">
        <v>133</v>
      </c>
      <c r="F15" s="14">
        <v>41</v>
      </c>
      <c r="G15" s="149">
        <f>'Varianta 2 – B ali D'!Q185</f>
        <v>204982</v>
      </c>
      <c r="H15" s="149">
        <f>'Varianta 2 – B ali D'!R185</f>
        <v>425029.72499999998</v>
      </c>
      <c r="I15" s="149">
        <f>'Varianta 2 – B ali D'!S185</f>
        <v>630011.72499999998</v>
      </c>
      <c r="J15" s="139" t="s">
        <v>144</v>
      </c>
      <c r="K15" s="150">
        <v>45291</v>
      </c>
      <c r="L15" s="133" t="s">
        <v>149</v>
      </c>
      <c r="M15" s="19" t="s">
        <v>155</v>
      </c>
    </row>
    <row r="16" spans="2:15" ht="25.5" x14ac:dyDescent="0.2">
      <c r="B16" s="419"/>
      <c r="C16" s="133" t="s">
        <v>143</v>
      </c>
      <c r="D16" s="133" t="s">
        <v>72</v>
      </c>
      <c r="E16" s="8">
        <v>13</v>
      </c>
      <c r="F16" s="8">
        <v>4</v>
      </c>
      <c r="G16" s="149">
        <f>'Varianta 2 – B ali D'!Q193</f>
        <v>20792</v>
      </c>
      <c r="H16" s="149">
        <f>'Varianta 2 – B ali D'!R193</f>
        <v>42688.574999999997</v>
      </c>
      <c r="I16" s="149">
        <f>'Varianta 2 – B ali D'!S193</f>
        <v>63480.574999999997</v>
      </c>
      <c r="J16" s="139" t="s">
        <v>144</v>
      </c>
      <c r="K16" s="19" t="s">
        <v>309</v>
      </c>
      <c r="L16" s="133" t="s">
        <v>147</v>
      </c>
      <c r="M16" s="133" t="s">
        <v>153</v>
      </c>
    </row>
    <row r="17" spans="2:13" x14ac:dyDescent="0.2">
      <c r="B17" s="419" t="s">
        <v>168</v>
      </c>
      <c r="C17" s="133" t="s">
        <v>143</v>
      </c>
      <c r="D17" s="133" t="s">
        <v>141</v>
      </c>
      <c r="E17" s="8">
        <v>9</v>
      </c>
      <c r="F17" s="8">
        <v>3</v>
      </c>
      <c r="G17" s="149">
        <f>'Varianta 2 – B ali D'!Q178</f>
        <v>12882</v>
      </c>
      <c r="H17" s="149">
        <f>'Varianta 2 – B ali D'!R178</f>
        <v>27840.375</v>
      </c>
      <c r="I17" s="149">
        <f>'Varianta 2 – B ali D'!S178</f>
        <v>40722.375</v>
      </c>
      <c r="J17" s="139" t="s">
        <v>144</v>
      </c>
      <c r="K17" s="4" t="s">
        <v>146</v>
      </c>
      <c r="L17" s="133" t="s">
        <v>14</v>
      </c>
      <c r="M17" s="133" t="s">
        <v>14</v>
      </c>
    </row>
    <row r="18" spans="2:13" ht="25.5" x14ac:dyDescent="0.2">
      <c r="B18" s="419"/>
      <c r="C18" s="133" t="s">
        <v>143</v>
      </c>
      <c r="D18" s="133" t="s">
        <v>72</v>
      </c>
      <c r="E18" s="8">
        <v>79</v>
      </c>
      <c r="F18" s="14">
        <v>26</v>
      </c>
      <c r="G18" s="135">
        <f>'Varianta 2 – B ali D'!Q194+'Varianta 6 – D3'!H24</f>
        <v>125656</v>
      </c>
      <c r="H18" s="135">
        <f>'Varianta 2 – B ali D'!R194+'Varianta 6 – D3'!I24</f>
        <v>261328.32</v>
      </c>
      <c r="I18" s="135">
        <f>'Varianta 2 – B ali D'!S194+'Varianta 6 – D3'!J24</f>
        <v>386984.32</v>
      </c>
      <c r="J18" s="139" t="s">
        <v>144</v>
      </c>
      <c r="K18" s="19" t="s">
        <v>309</v>
      </c>
      <c r="L18" s="19" t="s">
        <v>147</v>
      </c>
      <c r="M18" s="19" t="s">
        <v>313</v>
      </c>
    </row>
    <row r="19" spans="2:13" ht="25.5" x14ac:dyDescent="0.2">
      <c r="B19" s="419"/>
      <c r="C19" s="133" t="s">
        <v>143</v>
      </c>
      <c r="D19" s="133" t="s">
        <v>142</v>
      </c>
      <c r="E19" s="8">
        <v>4</v>
      </c>
      <c r="F19" s="14">
        <v>4</v>
      </c>
      <c r="G19" s="135">
        <f>'Varianta 7 – E'!H6</f>
        <v>27119.999999999996</v>
      </c>
      <c r="H19" s="135">
        <f>'Varianta 7 – E'!I6</f>
        <v>9176.0815999999995</v>
      </c>
      <c r="I19" s="135">
        <f>'Varianta 7 – E'!J6</f>
        <v>36296.081599999998</v>
      </c>
      <c r="J19" s="139" t="s">
        <v>144</v>
      </c>
      <c r="K19" s="19" t="s">
        <v>309</v>
      </c>
      <c r="L19" s="133" t="s">
        <v>148</v>
      </c>
      <c r="M19" s="133" t="s">
        <v>14</v>
      </c>
    </row>
    <row r="20" spans="2:13" x14ac:dyDescent="0.2">
      <c r="B20" s="419" t="s">
        <v>169</v>
      </c>
      <c r="C20" s="133" t="s">
        <v>143</v>
      </c>
      <c r="D20" s="133" t="s">
        <v>141</v>
      </c>
      <c r="E20" s="8">
        <v>6</v>
      </c>
      <c r="F20" s="8">
        <v>2</v>
      </c>
      <c r="G20" s="149">
        <f>'Varianta 2 – B ali D'!Q179</f>
        <v>8588</v>
      </c>
      <c r="H20" s="149">
        <f>'Varianta 2 – B ali D'!R179</f>
        <v>18560.25</v>
      </c>
      <c r="I20" s="149">
        <f>'Varianta 2 – B ali D'!S179</f>
        <v>27148.25</v>
      </c>
      <c r="J20" s="139" t="s">
        <v>144</v>
      </c>
      <c r="K20" s="4" t="s">
        <v>146</v>
      </c>
      <c r="L20" s="133" t="s">
        <v>14</v>
      </c>
      <c r="M20" s="133" t="s">
        <v>14</v>
      </c>
    </row>
    <row r="21" spans="2:13" ht="25.5" x14ac:dyDescent="0.2">
      <c r="B21" s="419"/>
      <c r="C21" s="133" t="s">
        <v>143</v>
      </c>
      <c r="D21" s="133" t="s">
        <v>72</v>
      </c>
      <c r="E21" s="8">
        <v>46</v>
      </c>
      <c r="F21" s="8">
        <v>15</v>
      </c>
      <c r="G21" s="149">
        <f>'Varianta 2 – B ali D'!Q195</f>
        <v>75258</v>
      </c>
      <c r="H21" s="149">
        <f>'Varianta 2 – B ali D'!R195</f>
        <v>155906.09999999998</v>
      </c>
      <c r="I21" s="149">
        <f>'Varianta 2 – B ali D'!S195</f>
        <v>231164.09999999998</v>
      </c>
      <c r="J21" s="139" t="s">
        <v>144</v>
      </c>
      <c r="K21" s="19" t="s">
        <v>309</v>
      </c>
      <c r="L21" s="19" t="s">
        <v>147</v>
      </c>
      <c r="M21" s="19" t="s">
        <v>313</v>
      </c>
    </row>
    <row r="22" spans="2:13" x14ac:dyDescent="0.2">
      <c r="B22" s="419" t="s">
        <v>170</v>
      </c>
      <c r="C22" s="133" t="s">
        <v>143</v>
      </c>
      <c r="D22" s="133" t="s">
        <v>141</v>
      </c>
      <c r="E22" s="8">
        <v>54</v>
      </c>
      <c r="F22" s="8">
        <v>14</v>
      </c>
      <c r="G22" s="149">
        <f>'Varianta 2 – B ali D'!Q180+'Varianta 4 – D1'!H6</f>
        <v>74128</v>
      </c>
      <c r="H22" s="149">
        <f>'Varianta 2 – B ali D'!R180+'Varianta 4 – D1'!I6</f>
        <v>149966.82</v>
      </c>
      <c r="I22" s="149">
        <f>'Varianta 2 – B ali D'!S180+'Varianta 4 – D1'!J6</f>
        <v>224094.82</v>
      </c>
      <c r="J22" s="139" t="s">
        <v>144</v>
      </c>
      <c r="K22" s="4" t="s">
        <v>146</v>
      </c>
      <c r="L22" s="133" t="s">
        <v>14</v>
      </c>
      <c r="M22" s="133" t="s">
        <v>14</v>
      </c>
    </row>
    <row r="23" spans="2:13" x14ac:dyDescent="0.2">
      <c r="B23" s="419"/>
      <c r="C23" s="133" t="s">
        <v>143</v>
      </c>
      <c r="D23" s="133" t="s">
        <v>140</v>
      </c>
      <c r="E23" s="14">
        <v>118</v>
      </c>
      <c r="F23" s="14">
        <v>32</v>
      </c>
      <c r="G23" s="149">
        <f>'Varianta 2 – B ali D'!Q186</f>
        <v>172664</v>
      </c>
      <c r="H23" s="149">
        <f>'Varianta 2 – B ali D'!R186</f>
        <v>348190.29</v>
      </c>
      <c r="I23" s="149">
        <f>'Varianta 2 – B ali D'!S186</f>
        <v>520854.29</v>
      </c>
      <c r="J23" s="139" t="s">
        <v>144</v>
      </c>
      <c r="K23" s="150">
        <v>45291</v>
      </c>
      <c r="L23" s="133" t="s">
        <v>149</v>
      </c>
      <c r="M23" s="19" t="s">
        <v>155</v>
      </c>
    </row>
    <row r="24" spans="2:13" ht="25.5" x14ac:dyDescent="0.2">
      <c r="B24" s="419"/>
      <c r="C24" s="133" t="s">
        <v>143</v>
      </c>
      <c r="D24" s="133" t="s">
        <v>72</v>
      </c>
      <c r="E24" s="14">
        <v>90</v>
      </c>
      <c r="F24" s="14">
        <v>28</v>
      </c>
      <c r="G24" s="149">
        <f>'Varianta 2 – B ali D'!Q196+'Varianta 6 – D3'!H25</f>
        <v>137860</v>
      </c>
      <c r="H24" s="149">
        <f>'Varianta 2 – B ali D'!R196+'Varianta 6 – D3'!I25</f>
        <v>285456.64500000002</v>
      </c>
      <c r="I24" s="149">
        <f>'Varianta 2 – B ali D'!S196+'Varianta 6 – D3'!J25</f>
        <v>423316.64500000002</v>
      </c>
      <c r="J24" s="139" t="s">
        <v>144</v>
      </c>
      <c r="K24" s="19" t="s">
        <v>309</v>
      </c>
      <c r="L24" s="133" t="s">
        <v>147</v>
      </c>
      <c r="M24" s="133" t="s">
        <v>153</v>
      </c>
    </row>
    <row r="25" spans="2:13" ht="25.5" x14ac:dyDescent="0.2">
      <c r="B25" s="419"/>
      <c r="C25" s="133" t="s">
        <v>143</v>
      </c>
      <c r="D25" s="133" t="s">
        <v>142</v>
      </c>
      <c r="E25" s="8">
        <v>5</v>
      </c>
      <c r="F25" s="8">
        <v>5</v>
      </c>
      <c r="G25" s="149">
        <f>'Varianta 7 – E'!H7</f>
        <v>33899.999999999993</v>
      </c>
      <c r="H25" s="149">
        <f>'Varianta 7 – E'!I7</f>
        <v>11470.101999999999</v>
      </c>
      <c r="I25" s="149">
        <f>'Varianta 7 – E'!J7</f>
        <v>45370.101999999992</v>
      </c>
      <c r="J25" s="139" t="s">
        <v>144</v>
      </c>
      <c r="K25" s="19" t="s">
        <v>309</v>
      </c>
      <c r="L25" s="133" t="s">
        <v>148</v>
      </c>
      <c r="M25" s="133" t="s">
        <v>14</v>
      </c>
    </row>
    <row r="26" spans="2:13" ht="25.5" x14ac:dyDescent="0.2">
      <c r="B26" s="419" t="s">
        <v>171</v>
      </c>
      <c r="C26" s="133" t="s">
        <v>143</v>
      </c>
      <c r="D26" s="133" t="s">
        <v>241</v>
      </c>
      <c r="E26" s="269">
        <v>11</v>
      </c>
      <c r="F26" s="269">
        <v>2</v>
      </c>
      <c r="G26" s="135" t="s">
        <v>145</v>
      </c>
      <c r="H26" s="135" t="s">
        <v>145</v>
      </c>
      <c r="I26" s="135" t="s">
        <v>145</v>
      </c>
      <c r="J26" s="139" t="s">
        <v>238</v>
      </c>
      <c r="K26" s="150">
        <v>45291</v>
      </c>
      <c r="L26" s="133" t="s">
        <v>14</v>
      </c>
      <c r="M26" s="19" t="s">
        <v>317</v>
      </c>
    </row>
    <row r="27" spans="2:13" x14ac:dyDescent="0.2">
      <c r="B27" s="419"/>
      <c r="C27" s="133" t="s">
        <v>143</v>
      </c>
      <c r="D27" s="133" t="s">
        <v>141</v>
      </c>
      <c r="E27" s="8">
        <v>24</v>
      </c>
      <c r="F27" s="14">
        <v>7</v>
      </c>
      <c r="G27" s="135">
        <f>'Varianta 3 – C ali D3'!Q31+'Varianta 4 – D1'!H7</f>
        <v>33674</v>
      </c>
      <c r="H27" s="135">
        <f>'Varianta 3 – C ali D3'!R31+'Varianta 4 – D1'!I7</f>
        <v>70528.95</v>
      </c>
      <c r="I27" s="135">
        <f>'Varianta 3 – C ali D3'!S31+'Varianta 4 – D1'!J7</f>
        <v>104202.95</v>
      </c>
      <c r="J27" s="139" t="s">
        <v>144</v>
      </c>
      <c r="K27" s="4" t="s">
        <v>146</v>
      </c>
      <c r="L27" s="133" t="s">
        <v>14</v>
      </c>
      <c r="M27" s="133" t="s">
        <v>14</v>
      </c>
    </row>
    <row r="28" spans="2:13" ht="25.5" x14ac:dyDescent="0.2">
      <c r="B28" s="419"/>
      <c r="C28" s="133" t="s">
        <v>143</v>
      </c>
      <c r="D28" s="133" t="s">
        <v>72</v>
      </c>
      <c r="E28" s="8">
        <v>87</v>
      </c>
      <c r="F28" s="8">
        <v>27</v>
      </c>
      <c r="G28" s="149">
        <f>'Varianta 3 – C ali D3'!Q32+'Varianta 6 – D3'!H26</f>
        <v>130402</v>
      </c>
      <c r="H28" s="149">
        <f>'Varianta 3 – C ali D3'!R32+'Varianta 6 – D3'!I26</f>
        <v>272835.67499999999</v>
      </c>
      <c r="I28" s="149">
        <f>'Varianta 3 – C ali D3'!S32+'Varianta 6 – D3'!J26</f>
        <v>403237.67500000005</v>
      </c>
      <c r="J28" s="139" t="s">
        <v>144</v>
      </c>
      <c r="K28" s="19" t="s">
        <v>309</v>
      </c>
      <c r="L28" s="133" t="s">
        <v>147</v>
      </c>
      <c r="M28" s="133" t="s">
        <v>153</v>
      </c>
    </row>
    <row r="29" spans="2:13" ht="25.5" x14ac:dyDescent="0.2">
      <c r="B29" s="419"/>
      <c r="C29" s="133" t="s">
        <v>143</v>
      </c>
      <c r="D29" s="133" t="s">
        <v>142</v>
      </c>
      <c r="E29" s="8">
        <v>2</v>
      </c>
      <c r="F29" s="8">
        <v>2</v>
      </c>
      <c r="G29" s="149">
        <f>'Varianta 7 – E'!H8</f>
        <v>13559.999999999998</v>
      </c>
      <c r="H29" s="149">
        <f>'Varianta 7 – E'!I8</f>
        <v>4588.0407999999998</v>
      </c>
      <c r="I29" s="149">
        <f>'Varianta 7 – E'!J8</f>
        <v>18148.040799999999</v>
      </c>
      <c r="J29" s="139" t="s">
        <v>144</v>
      </c>
      <c r="K29" s="19" t="s">
        <v>309</v>
      </c>
      <c r="L29" s="133" t="s">
        <v>148</v>
      </c>
      <c r="M29" s="133" t="s">
        <v>14</v>
      </c>
    </row>
    <row r="30" spans="2:13" ht="15" customHeight="1" x14ac:dyDescent="0.2">
      <c r="B30" s="419" t="s">
        <v>172</v>
      </c>
      <c r="C30" s="133" t="s">
        <v>143</v>
      </c>
      <c r="D30" s="133" t="s">
        <v>241</v>
      </c>
      <c r="E30" s="8">
        <v>78</v>
      </c>
      <c r="F30" s="14">
        <v>25</v>
      </c>
      <c r="G30" s="135" t="s">
        <v>145</v>
      </c>
      <c r="H30" s="135" t="s">
        <v>145</v>
      </c>
      <c r="I30" s="135" t="s">
        <v>145</v>
      </c>
      <c r="J30" s="139" t="s">
        <v>238</v>
      </c>
      <c r="K30" s="150" t="s">
        <v>159</v>
      </c>
      <c r="L30" s="133" t="s">
        <v>14</v>
      </c>
      <c r="M30" s="19" t="s">
        <v>315</v>
      </c>
    </row>
    <row r="31" spans="2:13" ht="25.5" x14ac:dyDescent="0.2">
      <c r="B31" s="419"/>
      <c r="C31" s="133" t="s">
        <v>143</v>
      </c>
      <c r="D31" s="133" t="s">
        <v>72</v>
      </c>
      <c r="E31" s="8">
        <v>7</v>
      </c>
      <c r="F31" s="8">
        <v>2</v>
      </c>
      <c r="G31" s="149">
        <f>'Varianta 2 – B ali D'!Q197</f>
        <v>8588</v>
      </c>
      <c r="H31" s="149">
        <f>'Varianta 2 – B ali D'!R197</f>
        <v>18560.25</v>
      </c>
      <c r="I31" s="149">
        <f>'Varianta 2 – B ali D'!S197</f>
        <v>27148.25</v>
      </c>
      <c r="J31" s="139" t="s">
        <v>144</v>
      </c>
      <c r="K31" s="19" t="s">
        <v>309</v>
      </c>
      <c r="L31" s="19" t="s">
        <v>147</v>
      </c>
      <c r="M31" s="19" t="s">
        <v>313</v>
      </c>
    </row>
    <row r="32" spans="2:13" ht="25.5" x14ac:dyDescent="0.2">
      <c r="B32" s="419"/>
      <c r="C32" s="133" t="s">
        <v>143</v>
      </c>
      <c r="D32" s="133" t="s">
        <v>142</v>
      </c>
      <c r="E32" s="8">
        <v>1</v>
      </c>
      <c r="F32" s="8">
        <v>1</v>
      </c>
      <c r="G32" s="149">
        <f>'Varianta 7 – E'!H9</f>
        <v>6779.9999999999991</v>
      </c>
      <c r="H32" s="149">
        <f>'Varianta 7 – E'!I9</f>
        <v>2294.0203999999999</v>
      </c>
      <c r="I32" s="149">
        <f>'Varianta 7 – E'!J9</f>
        <v>9074.0203999999994</v>
      </c>
      <c r="J32" s="139" t="s">
        <v>144</v>
      </c>
      <c r="K32" s="19" t="s">
        <v>309</v>
      </c>
      <c r="L32" s="133" t="s">
        <v>148</v>
      </c>
      <c r="M32" s="133" t="s">
        <v>14</v>
      </c>
    </row>
    <row r="33" spans="2:13" ht="15" customHeight="1" x14ac:dyDescent="0.2">
      <c r="B33" s="423" t="s">
        <v>173</v>
      </c>
      <c r="C33" s="133" t="s">
        <v>143</v>
      </c>
      <c r="D33" s="133" t="s">
        <v>68</v>
      </c>
      <c r="E33" s="14">
        <f>' Varianta 1 A1, A2'!E7</f>
        <v>156</v>
      </c>
      <c r="F33" s="14">
        <f>' Varianta 1 A1, A2'!F7</f>
        <v>49</v>
      </c>
      <c r="G33" s="135" t="s">
        <v>145</v>
      </c>
      <c r="H33" s="135" t="s">
        <v>145</v>
      </c>
      <c r="I33" s="135" t="s">
        <v>145</v>
      </c>
      <c r="J33" s="139" t="s">
        <v>238</v>
      </c>
      <c r="K33" s="4" t="s">
        <v>146</v>
      </c>
      <c r="L33" s="133" t="s">
        <v>14</v>
      </c>
      <c r="M33" s="133" t="s">
        <v>14</v>
      </c>
    </row>
    <row r="34" spans="2:13" ht="15" customHeight="1" x14ac:dyDescent="0.2">
      <c r="B34" s="424"/>
      <c r="C34" s="133" t="s">
        <v>143</v>
      </c>
      <c r="D34" s="133" t="s">
        <v>106</v>
      </c>
      <c r="E34" s="14">
        <f>' Varianta 1 A1, A2'!E13</f>
        <v>90</v>
      </c>
      <c r="F34" s="14">
        <f>' Varianta 1 A1, A2'!F13</f>
        <v>22</v>
      </c>
      <c r="G34" s="135" t="s">
        <v>145</v>
      </c>
      <c r="H34" s="135" t="s">
        <v>145</v>
      </c>
      <c r="I34" s="135" t="s">
        <v>145</v>
      </c>
      <c r="J34" s="139" t="s">
        <v>238</v>
      </c>
      <c r="K34" s="268">
        <v>45291</v>
      </c>
      <c r="L34" s="133" t="s">
        <v>14</v>
      </c>
      <c r="M34" s="133" t="s">
        <v>155</v>
      </c>
    </row>
    <row r="35" spans="2:13" x14ac:dyDescent="0.2">
      <c r="B35" s="424"/>
      <c r="C35" s="133" t="s">
        <v>143</v>
      </c>
      <c r="D35" s="133" t="s">
        <v>141</v>
      </c>
      <c r="E35" s="8">
        <f>'Varianta 4 – D1'!D8</f>
        <v>46</v>
      </c>
      <c r="F35" s="8">
        <f>'Varianta 4 – D1'!E8</f>
        <v>12</v>
      </c>
      <c r="G35" s="135">
        <f>'Varianta 4 – D1'!H8</f>
        <v>51528</v>
      </c>
      <c r="H35" s="135">
        <f>'Varianta 4 – D1'!I8</f>
        <v>111361.5</v>
      </c>
      <c r="I35" s="135">
        <f>'Varianta 4 – D1'!J8</f>
        <v>162889.5</v>
      </c>
      <c r="J35" s="139" t="s">
        <v>144</v>
      </c>
      <c r="K35" s="4" t="s">
        <v>146</v>
      </c>
      <c r="L35" s="133" t="s">
        <v>14</v>
      </c>
      <c r="M35" s="133" t="s">
        <v>14</v>
      </c>
    </row>
    <row r="36" spans="2:13" x14ac:dyDescent="0.2">
      <c r="B36" s="424"/>
      <c r="C36" s="133" t="s">
        <v>143</v>
      </c>
      <c r="D36" s="133" t="s">
        <v>140</v>
      </c>
      <c r="E36" s="14">
        <f>'Varianta 5 – D2'!D7+'Varianta 5 – D2'!D8</f>
        <v>27</v>
      </c>
      <c r="F36" s="14">
        <f>'Varianta 5 – D2'!E7+'Varianta 5 – D2'!E8</f>
        <v>7</v>
      </c>
      <c r="G36" s="149">
        <f>'Varianta 5 – D2'!H7+'Varianta 5 – D2'!H8</f>
        <v>37290</v>
      </c>
      <c r="H36" s="149">
        <f>'Varianta 5 – D2'!I7+'Varianta 5 – D2'!I8</f>
        <v>76097.024999999994</v>
      </c>
      <c r="I36" s="149">
        <f>'Varianta 5 – D2'!J7+'Varianta 5 – D2'!J8</f>
        <v>113387.02499999999</v>
      </c>
      <c r="J36" s="139" t="s">
        <v>144</v>
      </c>
      <c r="K36" s="150">
        <v>45291</v>
      </c>
      <c r="L36" s="133" t="s">
        <v>149</v>
      </c>
      <c r="M36" s="19" t="s">
        <v>155</v>
      </c>
    </row>
    <row r="37" spans="2:13" ht="25.5" x14ac:dyDescent="0.2">
      <c r="B37" s="425"/>
      <c r="C37" s="133" t="s">
        <v>143</v>
      </c>
      <c r="D37" s="133" t="s">
        <v>72</v>
      </c>
      <c r="E37" s="8">
        <f>'Varianta 6 – D3'!D27</f>
        <v>11</v>
      </c>
      <c r="F37" s="8">
        <f>'Varianta 6 – D3'!E27</f>
        <v>2</v>
      </c>
      <c r="G37" s="135">
        <f>'Varianta 6 – D3'!H27</f>
        <v>12204</v>
      </c>
      <c r="H37" s="135">
        <f>'Varianta 6 – D3'!I27</f>
        <v>24128.324999999997</v>
      </c>
      <c r="I37" s="135">
        <f>'Varianta 6 – D3'!J27</f>
        <v>36332.324999999997</v>
      </c>
      <c r="J37" s="139" t="s">
        <v>144</v>
      </c>
      <c r="K37" s="19" t="s">
        <v>309</v>
      </c>
      <c r="L37" s="133" t="s">
        <v>147</v>
      </c>
      <c r="M37" s="133" t="s">
        <v>153</v>
      </c>
    </row>
    <row r="38" spans="2:13" x14ac:dyDescent="0.2">
      <c r="B38" s="419" t="s">
        <v>174</v>
      </c>
      <c r="C38" s="133" t="s">
        <v>143</v>
      </c>
      <c r="D38" s="133" t="s">
        <v>241</v>
      </c>
      <c r="E38" s="269">
        <v>880</v>
      </c>
      <c r="F38" s="269">
        <v>237</v>
      </c>
      <c r="G38" s="135">
        <f>'Varianta 2 – B ali D'!Q171</f>
        <v>3744937.9750000001</v>
      </c>
      <c r="H38" s="135">
        <f>'Varianta 2 – B ali D'!R171</f>
        <v>1178514.2159999998</v>
      </c>
      <c r="I38" s="135">
        <f>'Varianta 2 – B ali D'!S171</f>
        <v>4923452.1909999996</v>
      </c>
      <c r="J38" s="139" t="s">
        <v>238</v>
      </c>
      <c r="K38" s="150" t="s">
        <v>159</v>
      </c>
      <c r="L38" s="133" t="s">
        <v>14</v>
      </c>
      <c r="M38" s="133" t="s">
        <v>14</v>
      </c>
    </row>
    <row r="39" spans="2:13" x14ac:dyDescent="0.2">
      <c r="B39" s="419"/>
      <c r="C39" s="133" t="s">
        <v>143</v>
      </c>
      <c r="D39" s="133" t="s">
        <v>141</v>
      </c>
      <c r="E39" s="8">
        <v>6</v>
      </c>
      <c r="F39" s="8">
        <v>1</v>
      </c>
      <c r="G39" s="149">
        <f>'Varianta 4 – D1'!H9</f>
        <v>7909.9999999999991</v>
      </c>
      <c r="H39" s="149">
        <f>'Varianta 4 – D1'!I9</f>
        <v>14848.199999999997</v>
      </c>
      <c r="I39" s="149">
        <f>'Varianta 4 – D1'!J9</f>
        <v>22758.199999999997</v>
      </c>
      <c r="J39" s="139" t="s">
        <v>144</v>
      </c>
      <c r="K39" s="4" t="s">
        <v>146</v>
      </c>
      <c r="L39" s="133" t="s">
        <v>14</v>
      </c>
      <c r="M39" s="133" t="s">
        <v>14</v>
      </c>
    </row>
    <row r="40" spans="2:13" x14ac:dyDescent="0.2">
      <c r="B40" s="419"/>
      <c r="C40" s="133" t="s">
        <v>143</v>
      </c>
      <c r="D40" s="133" t="s">
        <v>140</v>
      </c>
      <c r="E40" s="8">
        <v>50</v>
      </c>
      <c r="F40" s="8">
        <v>12</v>
      </c>
      <c r="G40" s="149">
        <f>'Varianta 2 – B ali D'!Q187+'Varianta 5 – D2'!H5+'Varianta 5 – D2'!H6</f>
        <v>62376</v>
      </c>
      <c r="H40" s="149">
        <f>'Varianta 2 – B ali D'!R187+'Varianta 5 – D2'!I5+'Varianta 5 – D2'!I6</f>
        <v>128065.72499999999</v>
      </c>
      <c r="I40" s="149">
        <f>'Varianta 2 – B ali D'!S187+'Varianta 5 – D2'!J5+'Varianta 5 – D2'!J6</f>
        <v>190441.72499999998</v>
      </c>
      <c r="J40" s="139" t="s">
        <v>144</v>
      </c>
      <c r="K40" s="150" t="s">
        <v>159</v>
      </c>
      <c r="L40" s="133" t="s">
        <v>149</v>
      </c>
      <c r="M40" s="133" t="s">
        <v>14</v>
      </c>
    </row>
    <row r="41" spans="2:13" ht="25.5" x14ac:dyDescent="0.2">
      <c r="B41" s="419"/>
      <c r="C41" s="133" t="s">
        <v>143</v>
      </c>
      <c r="D41" s="133" t="s">
        <v>72</v>
      </c>
      <c r="E41" s="8">
        <v>12</v>
      </c>
      <c r="F41" s="8">
        <v>2</v>
      </c>
      <c r="G41" s="149">
        <f>'Varianta 6 – D3'!H28</f>
        <v>12204</v>
      </c>
      <c r="H41" s="149">
        <f>'Varianta 6 – D3'!I28</f>
        <v>24128.324999999997</v>
      </c>
      <c r="I41" s="149">
        <f>'Varianta 6 – D3'!J28</f>
        <v>36332.324999999997</v>
      </c>
      <c r="J41" s="139" t="s">
        <v>144</v>
      </c>
      <c r="K41" s="19" t="s">
        <v>309</v>
      </c>
      <c r="L41" s="133" t="s">
        <v>147</v>
      </c>
      <c r="M41" s="133" t="s">
        <v>153</v>
      </c>
    </row>
    <row r="42" spans="2:13" ht="25.5" x14ac:dyDescent="0.2">
      <c r="B42" s="419"/>
      <c r="C42" s="133" t="s">
        <v>143</v>
      </c>
      <c r="D42" s="133" t="s">
        <v>142</v>
      </c>
      <c r="E42" s="8">
        <v>2</v>
      </c>
      <c r="F42" s="8">
        <v>2</v>
      </c>
      <c r="G42" s="149">
        <f>'Varianta 7 – E'!H10</f>
        <v>13559.999999999998</v>
      </c>
      <c r="H42" s="149">
        <f>'Varianta 7 – E'!I10</f>
        <v>4588.0407999999998</v>
      </c>
      <c r="I42" s="149">
        <f>'Varianta 7 – E'!J10</f>
        <v>18148.040799999999</v>
      </c>
      <c r="J42" s="139" t="s">
        <v>144</v>
      </c>
      <c r="K42" s="19" t="s">
        <v>309</v>
      </c>
      <c r="L42" s="133" t="s">
        <v>148</v>
      </c>
      <c r="M42" s="133" t="s">
        <v>14</v>
      </c>
    </row>
    <row r="43" spans="2:13" x14ac:dyDescent="0.2">
      <c r="B43" s="419" t="s">
        <v>162</v>
      </c>
      <c r="C43" s="133" t="s">
        <v>143</v>
      </c>
      <c r="D43" s="133" t="s">
        <v>68</v>
      </c>
      <c r="E43" s="8">
        <v>691</v>
      </c>
      <c r="F43" s="8">
        <v>92</v>
      </c>
      <c r="G43" s="135" t="s">
        <v>145</v>
      </c>
      <c r="H43" s="135" t="s">
        <v>145</v>
      </c>
      <c r="I43" s="135" t="s">
        <v>145</v>
      </c>
      <c r="J43" s="139" t="s">
        <v>238</v>
      </c>
      <c r="K43" s="4" t="s">
        <v>146</v>
      </c>
      <c r="L43" s="133" t="s">
        <v>14</v>
      </c>
      <c r="M43" s="133" t="s">
        <v>14</v>
      </c>
    </row>
    <row r="44" spans="2:13" x14ac:dyDescent="0.2">
      <c r="B44" s="419"/>
      <c r="C44" s="133" t="s">
        <v>143</v>
      </c>
      <c r="D44" s="133" t="s">
        <v>106</v>
      </c>
      <c r="E44" s="8">
        <v>621</v>
      </c>
      <c r="F44" s="8">
        <v>108</v>
      </c>
      <c r="G44" s="135" t="s">
        <v>145</v>
      </c>
      <c r="H44" s="135" t="s">
        <v>145</v>
      </c>
      <c r="I44" s="135" t="s">
        <v>145</v>
      </c>
      <c r="J44" s="139" t="s">
        <v>238</v>
      </c>
      <c r="K44" s="150" t="s">
        <v>159</v>
      </c>
      <c r="L44" s="133" t="s">
        <v>14</v>
      </c>
      <c r="M44" s="133" t="s">
        <v>157</v>
      </c>
    </row>
    <row r="45" spans="2:13" ht="25.5" x14ac:dyDescent="0.2">
      <c r="B45" s="419" t="s">
        <v>175</v>
      </c>
      <c r="C45" s="133" t="s">
        <v>143</v>
      </c>
      <c r="D45" s="133" t="s">
        <v>241</v>
      </c>
      <c r="E45" s="8">
        <v>251</v>
      </c>
      <c r="F45" s="8">
        <v>77</v>
      </c>
      <c r="G45" s="135" t="s">
        <v>145</v>
      </c>
      <c r="H45" s="135" t="s">
        <v>145</v>
      </c>
      <c r="I45" s="135" t="s">
        <v>145</v>
      </c>
      <c r="J45" s="139" t="s">
        <v>238</v>
      </c>
      <c r="K45" s="150">
        <v>45291</v>
      </c>
      <c r="L45" s="133" t="s">
        <v>14</v>
      </c>
      <c r="M45" s="19" t="s">
        <v>317</v>
      </c>
    </row>
    <row r="46" spans="2:13" x14ac:dyDescent="0.2">
      <c r="B46" s="419"/>
      <c r="C46" s="133" t="s">
        <v>143</v>
      </c>
      <c r="D46" s="133" t="s">
        <v>141</v>
      </c>
      <c r="E46" s="8">
        <v>48</v>
      </c>
      <c r="F46" s="8">
        <v>13</v>
      </c>
      <c r="G46" s="149">
        <f>'Varianta 2 – B ali D'!Q181+'Varianta 4 – D1'!H10</f>
        <v>63054</v>
      </c>
      <c r="H46" s="149">
        <f>'Varianta 2 – B ali D'!R181+'Varianta 4 – D1'!I10</f>
        <v>131777.77499999999</v>
      </c>
      <c r="I46" s="149">
        <f>'Varianta 2 – B ali D'!S181+'Varianta 4 – D1'!J10</f>
        <v>194831.77499999999</v>
      </c>
      <c r="J46" s="139" t="s">
        <v>144</v>
      </c>
      <c r="K46" s="4" t="s">
        <v>146</v>
      </c>
      <c r="L46" s="133" t="s">
        <v>14</v>
      </c>
      <c r="M46" s="133" t="s">
        <v>14</v>
      </c>
    </row>
    <row r="47" spans="2:13" ht="25.5" x14ac:dyDescent="0.2">
      <c r="B47" s="419"/>
      <c r="C47" s="133" t="s">
        <v>143</v>
      </c>
      <c r="D47" s="133" t="s">
        <v>72</v>
      </c>
      <c r="E47" s="8">
        <v>233</v>
      </c>
      <c r="F47" s="8">
        <v>66</v>
      </c>
      <c r="G47" s="149">
        <f>'Varianta 2 – B ali D'!Q198+'Varianta 6 – D3'!H29</f>
        <v>326796</v>
      </c>
      <c r="H47" s="149">
        <f>'Varianta 2 – B ali D'!R198+'Varianta 6 – D3'!I29</f>
        <v>679305.14999999991</v>
      </c>
      <c r="I47" s="149">
        <f>'Varianta 2 – B ali D'!S198+'Varianta 6 – D3'!J29</f>
        <v>1006101.1499999999</v>
      </c>
      <c r="J47" s="139" t="s">
        <v>144</v>
      </c>
      <c r="K47" s="19" t="s">
        <v>309</v>
      </c>
      <c r="L47" s="19" t="s">
        <v>147</v>
      </c>
      <c r="M47" s="19" t="s">
        <v>313</v>
      </c>
    </row>
    <row r="48" spans="2:13" x14ac:dyDescent="0.2">
      <c r="B48" s="419" t="s">
        <v>176</v>
      </c>
      <c r="C48" s="133" t="s">
        <v>143</v>
      </c>
      <c r="D48" s="133" t="s">
        <v>141</v>
      </c>
      <c r="E48" s="8">
        <v>2</v>
      </c>
      <c r="F48" s="8">
        <v>1</v>
      </c>
      <c r="G48" s="149">
        <f>'Varianta 2 – B ali D'!Q182</f>
        <v>4294</v>
      </c>
      <c r="H48" s="149">
        <f>'Varianta 2 – B ali D'!R182</f>
        <v>9280.125</v>
      </c>
      <c r="I48" s="149">
        <f>'Varianta 2 – B ali D'!S182</f>
        <v>13574.125</v>
      </c>
      <c r="J48" s="139" t="s">
        <v>144</v>
      </c>
      <c r="K48" s="4" t="s">
        <v>146</v>
      </c>
      <c r="L48" s="133" t="s">
        <v>14</v>
      </c>
      <c r="M48" s="133" t="s">
        <v>14</v>
      </c>
    </row>
    <row r="49" spans="2:13" ht="25.5" x14ac:dyDescent="0.2">
      <c r="B49" s="419"/>
      <c r="C49" s="133" t="s">
        <v>143</v>
      </c>
      <c r="D49" s="133" t="s">
        <v>72</v>
      </c>
      <c r="E49" s="8">
        <v>19</v>
      </c>
      <c r="F49" s="8">
        <v>9</v>
      </c>
      <c r="G49" s="149">
        <f>'Varianta 2 – B ali D'!Q199</f>
        <v>42262</v>
      </c>
      <c r="H49" s="149">
        <f>'Varianta 2 – B ali D'!R199</f>
        <v>89089.2</v>
      </c>
      <c r="I49" s="149">
        <f>'Varianta 2 – B ali D'!S199</f>
        <v>131351.20000000001</v>
      </c>
      <c r="J49" s="139" t="s">
        <v>144</v>
      </c>
      <c r="K49" s="19" t="s">
        <v>309</v>
      </c>
      <c r="L49" s="19" t="s">
        <v>147</v>
      </c>
      <c r="M49" s="19" t="s">
        <v>313</v>
      </c>
    </row>
    <row r="50" spans="2:13" ht="25.5" x14ac:dyDescent="0.2">
      <c r="B50" s="419"/>
      <c r="C50" s="133" t="s">
        <v>143</v>
      </c>
      <c r="D50" s="133" t="s">
        <v>142</v>
      </c>
      <c r="E50" s="8">
        <v>2</v>
      </c>
      <c r="F50" s="8">
        <v>2</v>
      </c>
      <c r="G50" s="149">
        <f>'Varianta 7 – E'!H11</f>
        <v>13559.999999999998</v>
      </c>
      <c r="H50" s="149">
        <f>'Varianta 7 – E'!I11</f>
        <v>4588.0407999999998</v>
      </c>
      <c r="I50" s="149">
        <f>'Varianta 7 – E'!J11</f>
        <v>18148.040799999999</v>
      </c>
      <c r="J50" s="139" t="s">
        <v>144</v>
      </c>
      <c r="K50" s="19" t="s">
        <v>309</v>
      </c>
      <c r="L50" s="133" t="s">
        <v>148</v>
      </c>
      <c r="M50" s="133" t="s">
        <v>14</v>
      </c>
    </row>
    <row r="51" spans="2:13" x14ac:dyDescent="0.2">
      <c r="B51" s="419" t="s">
        <v>177</v>
      </c>
      <c r="C51" s="133" t="s">
        <v>143</v>
      </c>
      <c r="D51" s="133" t="s">
        <v>106</v>
      </c>
      <c r="E51" s="8">
        <v>411</v>
      </c>
      <c r="F51" s="8">
        <v>101</v>
      </c>
      <c r="G51" s="135" t="s">
        <v>145</v>
      </c>
      <c r="H51" s="135" t="s">
        <v>145</v>
      </c>
      <c r="I51" s="135" t="s">
        <v>145</v>
      </c>
      <c r="J51" s="139" t="s">
        <v>238</v>
      </c>
      <c r="K51" s="150" t="s">
        <v>159</v>
      </c>
      <c r="L51" s="133" t="s">
        <v>14</v>
      </c>
      <c r="M51" s="133" t="s">
        <v>157</v>
      </c>
    </row>
    <row r="52" spans="2:13" ht="25.5" x14ac:dyDescent="0.2">
      <c r="B52" s="419"/>
      <c r="C52" s="133" t="s">
        <v>143</v>
      </c>
      <c r="D52" s="133" t="s">
        <v>72</v>
      </c>
      <c r="E52" s="8">
        <v>22</v>
      </c>
      <c r="F52" s="8">
        <v>3</v>
      </c>
      <c r="G52" s="149">
        <f>'Varianta 6 – D3'!H30</f>
        <v>26894</v>
      </c>
      <c r="H52" s="149">
        <f>'Varianta 6 – D3'!I30</f>
        <v>47885.444999999992</v>
      </c>
      <c r="I52" s="149">
        <f>'Varianta 6 – D3'!J30</f>
        <v>74779.444999999992</v>
      </c>
      <c r="J52" s="139" t="s">
        <v>144</v>
      </c>
      <c r="K52" s="19" t="s">
        <v>309</v>
      </c>
      <c r="L52" s="133" t="s">
        <v>147</v>
      </c>
      <c r="M52" s="133" t="s">
        <v>153</v>
      </c>
    </row>
    <row r="53" spans="2:13" ht="25.5" x14ac:dyDescent="0.2">
      <c r="B53" s="419"/>
      <c r="C53" s="133" t="s">
        <v>143</v>
      </c>
      <c r="D53" s="133" t="s">
        <v>142</v>
      </c>
      <c r="E53" s="8">
        <v>3</v>
      </c>
      <c r="F53" s="8">
        <v>3</v>
      </c>
      <c r="G53" s="149">
        <f>'Varianta 7 – E'!H12</f>
        <v>20339.999999999996</v>
      </c>
      <c r="H53" s="149">
        <f>'Varianta 7 – E'!I12</f>
        <v>6882.0612000000001</v>
      </c>
      <c r="I53" s="149">
        <f>'Varianta 7 – E'!J12</f>
        <v>27222.061199999996</v>
      </c>
      <c r="J53" s="139" t="s">
        <v>144</v>
      </c>
      <c r="K53" s="19" t="s">
        <v>309</v>
      </c>
      <c r="L53" s="133" t="s">
        <v>148</v>
      </c>
      <c r="M53" s="133" t="s">
        <v>14</v>
      </c>
    </row>
    <row r="54" spans="2:13" x14ac:dyDescent="0.2">
      <c r="B54" s="419" t="s">
        <v>178</v>
      </c>
      <c r="C54" s="133" t="s">
        <v>143</v>
      </c>
      <c r="D54" s="133" t="s">
        <v>141</v>
      </c>
      <c r="E54" s="8">
        <v>8</v>
      </c>
      <c r="F54" s="8">
        <v>2</v>
      </c>
      <c r="G54" s="149">
        <f>'Varianta 2 – B ali D'!Q183</f>
        <v>8588</v>
      </c>
      <c r="H54" s="149">
        <f>'Varianta 2 – B ali D'!R183</f>
        <v>18560.25</v>
      </c>
      <c r="I54" s="149">
        <f>'Varianta 2 – B ali D'!S183</f>
        <v>27148.25</v>
      </c>
      <c r="J54" s="139" t="s">
        <v>144</v>
      </c>
      <c r="K54" s="4" t="s">
        <v>146</v>
      </c>
      <c r="L54" s="133" t="s">
        <v>14</v>
      </c>
      <c r="M54" s="133" t="s">
        <v>14</v>
      </c>
    </row>
    <row r="55" spans="2:13" ht="25.5" x14ac:dyDescent="0.2">
      <c r="B55" s="419"/>
      <c r="C55" s="133" t="s">
        <v>143</v>
      </c>
      <c r="D55" s="133" t="s">
        <v>140</v>
      </c>
      <c r="E55" s="8">
        <v>78</v>
      </c>
      <c r="F55" s="8">
        <v>19</v>
      </c>
      <c r="G55" s="149">
        <f>'Varianta 2 – B ali D'!Q188+'Varianta 5 – D2'!H9+'Varianta 5 – D2'!H10</f>
        <v>99666</v>
      </c>
      <c r="H55" s="149">
        <f>'Varianta 2 – B ali D'!R188+'Varianta 5 – D2'!I9+'Varianta 5 – D2'!I10</f>
        <v>204162.75</v>
      </c>
      <c r="I55" s="149">
        <f>'Varianta 2 – B ali D'!S188+'Varianta 5 – D2'!J9+'Varianta 5 – D2'!J10</f>
        <v>303828.75</v>
      </c>
      <c r="J55" s="139" t="s">
        <v>144</v>
      </c>
      <c r="K55" s="150">
        <v>45291</v>
      </c>
      <c r="L55" s="19" t="s">
        <v>149</v>
      </c>
      <c r="M55" s="19" t="s">
        <v>312</v>
      </c>
    </row>
    <row r="56" spans="2:13" ht="25.5" x14ac:dyDescent="0.2">
      <c r="B56" s="419"/>
      <c r="C56" s="133" t="s">
        <v>143</v>
      </c>
      <c r="D56" s="133" t="s">
        <v>72</v>
      </c>
      <c r="E56" s="8">
        <v>23</v>
      </c>
      <c r="F56" s="8">
        <v>11</v>
      </c>
      <c r="G56" s="149">
        <f>'Varianta 2 – B ali D'!Q200+'Varianta 6 – D3'!H31</f>
        <v>47234</v>
      </c>
      <c r="H56" s="149">
        <f>'Varianta 2 – B ali D'!R200+'Varianta 6 – D3'!I31</f>
        <v>102081.375</v>
      </c>
      <c r="I56" s="149">
        <f>'Varianta 2 – B ali D'!S200+'Varianta 6 – D3'!J31</f>
        <v>149315.375</v>
      </c>
      <c r="J56" s="139" t="s">
        <v>144</v>
      </c>
      <c r="K56" s="19" t="s">
        <v>309</v>
      </c>
      <c r="L56" s="133" t="s">
        <v>147</v>
      </c>
      <c r="M56" s="133" t="s">
        <v>153</v>
      </c>
    </row>
    <row r="57" spans="2:13" ht="25.5" x14ac:dyDescent="0.2">
      <c r="B57" s="419"/>
      <c r="C57" s="133" t="s">
        <v>143</v>
      </c>
      <c r="D57" s="133" t="s">
        <v>142</v>
      </c>
      <c r="E57" s="8">
        <v>1</v>
      </c>
      <c r="F57" s="8">
        <v>1</v>
      </c>
      <c r="G57" s="149">
        <f>'Varianta 7 – E'!H13</f>
        <v>6779.9999999999991</v>
      </c>
      <c r="H57" s="149">
        <f>'Varianta 7 – E'!I13</f>
        <v>2294.0203999999999</v>
      </c>
      <c r="I57" s="149">
        <f>'Varianta 7 – E'!J13</f>
        <v>9074.0203999999994</v>
      </c>
      <c r="J57" s="139" t="s">
        <v>144</v>
      </c>
      <c r="K57" s="19" t="s">
        <v>309</v>
      </c>
      <c r="L57" s="133" t="s">
        <v>148</v>
      </c>
      <c r="M57" s="133" t="s">
        <v>14</v>
      </c>
    </row>
    <row r="58" spans="2:13" x14ac:dyDescent="0.2">
      <c r="B58" s="168" t="s">
        <v>179</v>
      </c>
      <c r="C58" s="133" t="s">
        <v>143</v>
      </c>
      <c r="D58" s="133" t="s">
        <v>106</v>
      </c>
      <c r="E58" s="8">
        <v>278</v>
      </c>
      <c r="F58" s="8">
        <v>70</v>
      </c>
      <c r="G58" s="135" t="s">
        <v>145</v>
      </c>
      <c r="H58" s="135" t="s">
        <v>145</v>
      </c>
      <c r="I58" s="135" t="s">
        <v>145</v>
      </c>
      <c r="J58" s="139" t="s">
        <v>238</v>
      </c>
      <c r="K58" s="150" t="s">
        <v>159</v>
      </c>
      <c r="L58" s="133" t="s">
        <v>14</v>
      </c>
      <c r="M58" s="133" t="s">
        <v>157</v>
      </c>
    </row>
    <row r="59" spans="2:13" x14ac:dyDescent="0.2">
      <c r="E59" s="134">
        <f>SUM(E3:E58)</f>
        <v>7451</v>
      </c>
      <c r="F59" s="134">
        <f>SUM(F3:F58)</f>
        <v>1692</v>
      </c>
      <c r="I59" s="138"/>
    </row>
    <row r="60" spans="2:13" ht="15" x14ac:dyDescent="0.25">
      <c r="D60" s="426" t="s">
        <v>303</v>
      </c>
      <c r="E60" s="426"/>
      <c r="F60" s="426"/>
      <c r="G60" s="426"/>
      <c r="H60" s="426"/>
      <c r="I60" s="426"/>
      <c r="J60" s="426"/>
    </row>
    <row r="61" spans="2:13" x14ac:dyDescent="0.2">
      <c r="D61" s="144" t="s">
        <v>68</v>
      </c>
      <c r="E61" s="219">
        <f>SUBTOTAL(9,E7,E33,E43)</f>
        <v>1259</v>
      </c>
      <c r="F61" s="219">
        <f>SUBTOTAL(9,F7,F33,F43)</f>
        <v>184</v>
      </c>
      <c r="G61" s="142">
        <f>' Varianta 1 A1, A2'!L15</f>
        <v>1280448.3999999999</v>
      </c>
      <c r="H61" s="142">
        <f>' Varianta 1 A1, A2'!M15</f>
        <v>1919956.9752</v>
      </c>
      <c r="I61" s="142">
        <f>' Varianta 1 A1, A2'!N15</f>
        <v>3200405.3751999997</v>
      </c>
      <c r="J61" s="141" t="s">
        <v>238</v>
      </c>
    </row>
    <row r="62" spans="2:13" x14ac:dyDescent="0.2">
      <c r="D62" s="144" t="s">
        <v>106</v>
      </c>
      <c r="E62" s="219">
        <f>SUBTOTAL(9,E8,E34,E44,E51,E58)</f>
        <v>1467</v>
      </c>
      <c r="F62" s="219">
        <f>SUBTOTAL(9,F8,F34,F44,F51,F58)</f>
        <v>322</v>
      </c>
      <c r="G62" s="142">
        <f>' Varianta 1 A1, A2'!L16</f>
        <v>3256648.74</v>
      </c>
      <c r="H62" s="142">
        <f>' Varianta 1 A1, A2'!M16</f>
        <v>2311551.2375999996</v>
      </c>
      <c r="I62" s="142">
        <f>' Varianta 1 A1, A2'!N16</f>
        <v>5568199.9775999989</v>
      </c>
      <c r="J62" s="141" t="s">
        <v>238</v>
      </c>
    </row>
    <row r="63" spans="2:13" x14ac:dyDescent="0.2">
      <c r="D63" s="144" t="s">
        <v>243</v>
      </c>
      <c r="E63" s="219">
        <f>SUBTOTAL(9,E3,E5)</f>
        <v>884</v>
      </c>
      <c r="F63" s="219">
        <f>SUBTOTAL(9,F3,F5)</f>
        <v>184</v>
      </c>
      <c r="G63" s="142">
        <f>'Varianta 2 – B ali D'!Q170</f>
        <v>2087718.5872500006</v>
      </c>
      <c r="H63" s="142">
        <f>'Varianta 2 – B ali D'!R170</f>
        <v>1160329.3152000001</v>
      </c>
      <c r="I63" s="142">
        <f>'Varianta 2 – B ali D'!S170</f>
        <v>3248047.9024500009</v>
      </c>
      <c r="J63" s="141" t="s">
        <v>238</v>
      </c>
    </row>
    <row r="64" spans="2:13" x14ac:dyDescent="0.2">
      <c r="D64" s="144" t="s">
        <v>241</v>
      </c>
      <c r="E64" s="219">
        <f>SUBTOTAL(9,E10,E12,E26,E30,E38,E45)</f>
        <v>2292</v>
      </c>
      <c r="F64" s="219">
        <f>SUBTOTAL(9,F10,F12,F26,F30,F38,F45)</f>
        <v>606</v>
      </c>
      <c r="G64" s="142">
        <f>'Varianta 2 – B ali D'!Q171+'Varianta 2 – B ali D'!Q172</f>
        <v>9795307.0272500012</v>
      </c>
      <c r="H64" s="142">
        <f>'Varianta 2 – B ali D'!R171+'Varianta 2 – B ali D'!R172</f>
        <v>3064584.4415999996</v>
      </c>
      <c r="I64" s="142">
        <f>'Varianta 2 – B ali D'!S171+'Varianta 2 – B ali D'!S172</f>
        <v>12859891.468850002</v>
      </c>
      <c r="J64" s="141" t="s">
        <v>238</v>
      </c>
    </row>
    <row r="65" spans="2:15" x14ac:dyDescent="0.2">
      <c r="D65" s="220" t="s">
        <v>141</v>
      </c>
      <c r="E65" s="221">
        <f>SUBTOTAL(9,E6,E14,E17,E20,E22,E27,E35,E39,E46,E48,E54)</f>
        <v>410</v>
      </c>
      <c r="F65" s="221">
        <f t="shared" ref="F65:I65" si="0">SUBTOTAL(9,F6,F14,F17,F20,F22,F27,F35,F39,F46,F48,F54)</f>
        <v>57</v>
      </c>
      <c r="G65" s="222">
        <f t="shared" si="0"/>
        <v>448327.5</v>
      </c>
      <c r="H65" s="222">
        <f t="shared" si="0"/>
        <v>815042.44499999995</v>
      </c>
      <c r="I65" s="222">
        <f t="shared" si="0"/>
        <v>1263369.9449999998</v>
      </c>
      <c r="J65" s="223" t="s">
        <v>144</v>
      </c>
    </row>
    <row r="66" spans="2:15" x14ac:dyDescent="0.2">
      <c r="D66" s="220" t="s">
        <v>140</v>
      </c>
      <c r="E66" s="221">
        <f>SUBTOTAL(9,E15,E23,E36,E40,E55)</f>
        <v>406</v>
      </c>
      <c r="F66" s="221">
        <f t="shared" ref="F66:I66" si="1">SUBTOTAL(9,F15,F23,F36,F40,F55)</f>
        <v>111</v>
      </c>
      <c r="G66" s="222">
        <f t="shared" si="1"/>
        <v>576978</v>
      </c>
      <c r="H66" s="222">
        <f t="shared" si="1"/>
        <v>1181545.5149999999</v>
      </c>
      <c r="I66" s="222">
        <f t="shared" si="1"/>
        <v>1758523.5149999997</v>
      </c>
      <c r="J66" s="223" t="s">
        <v>144</v>
      </c>
    </row>
    <row r="67" spans="2:15" x14ac:dyDescent="0.2">
      <c r="D67" s="220" t="s">
        <v>72</v>
      </c>
      <c r="E67" s="221">
        <f>SUBTOTAL(9,E9,E11,E13,E16,E18,E21,E24,E28,E31,E37,E41,E47,E49,E52,E56)</f>
        <v>712</v>
      </c>
      <c r="F67" s="221">
        <f t="shared" ref="F67:I67" si="2">SUBTOTAL(9,F9,F11,F13,F16,F18,F21,F24,F28,F31,F37,F41,F47,F49,F52,F56)</f>
        <v>207</v>
      </c>
      <c r="G67" s="222">
        <f t="shared" si="2"/>
        <v>1049318</v>
      </c>
      <c r="H67" s="222">
        <f t="shared" si="2"/>
        <v>2160413.0999999996</v>
      </c>
      <c r="I67" s="222">
        <f t="shared" si="2"/>
        <v>3209731.1</v>
      </c>
      <c r="J67" s="223" t="s">
        <v>144</v>
      </c>
      <c r="K67" s="138"/>
      <c r="L67" s="138"/>
      <c r="M67" s="138"/>
    </row>
    <row r="68" spans="2:15" x14ac:dyDescent="0.2">
      <c r="D68" s="220" t="s">
        <v>142</v>
      </c>
      <c r="E68" s="221">
        <f>SUBTOTAL(9,E4,E19,E25,E29,E32,E42,E50,E53,E57)</f>
        <v>21</v>
      </c>
      <c r="F68" s="221">
        <f>SUBTOTAL(9,F4,F19,F25,F29,F32,F42,F50,F53,F57)</f>
        <v>21</v>
      </c>
      <c r="G68" s="222">
        <f>SUBTOTAL(9,G4,G19,G25,G29,G32,G42,G50,G53,G57)</f>
        <v>142379.99999999997</v>
      </c>
      <c r="H68" s="222">
        <f>SUBTOTAL(9,H4,H19,H25,H29,H32,H42,H50,H53,H57)</f>
        <v>48174.428399999997</v>
      </c>
      <c r="I68" s="222">
        <f>SUBTOTAL(9,I4,I19,I25,I29,I32,I42,I50,I53,I57)</f>
        <v>190554.42839999998</v>
      </c>
      <c r="J68" s="223" t="s">
        <v>144</v>
      </c>
    </row>
    <row r="69" spans="2:15" x14ac:dyDescent="0.2">
      <c r="D69" s="220" t="s">
        <v>126</v>
      </c>
      <c r="E69" s="221">
        <v>0</v>
      </c>
      <c r="F69" s="221">
        <v>0</v>
      </c>
      <c r="G69" s="222">
        <v>0</v>
      </c>
      <c r="H69" s="222">
        <v>0</v>
      </c>
      <c r="I69" s="222">
        <v>0</v>
      </c>
      <c r="J69" s="223" t="s">
        <v>144</v>
      </c>
    </row>
    <row r="70" spans="2:15" x14ac:dyDescent="0.2">
      <c r="D70" s="220" t="s">
        <v>151</v>
      </c>
      <c r="E70" s="221">
        <v>0</v>
      </c>
      <c r="F70" s="221">
        <v>0</v>
      </c>
      <c r="G70" s="222">
        <v>0</v>
      </c>
      <c r="H70" s="222">
        <v>0</v>
      </c>
      <c r="I70" s="222">
        <v>0</v>
      </c>
      <c r="J70" s="223" t="s">
        <v>144</v>
      </c>
    </row>
    <row r="72" spans="2:15" x14ac:dyDescent="0.2">
      <c r="D72" s="141" t="s">
        <v>238</v>
      </c>
      <c r="E72" s="219">
        <f>SUM(E61:E64)</f>
        <v>5902</v>
      </c>
      <c r="F72" s="219">
        <f t="shared" ref="F72:I72" si="3">SUM(F61:F64)</f>
        <v>1296</v>
      </c>
      <c r="G72" s="142">
        <f t="shared" si="3"/>
        <v>16420122.754500002</v>
      </c>
      <c r="H72" s="142">
        <f t="shared" si="3"/>
        <v>8456421.9695999995</v>
      </c>
      <c r="I72" s="142">
        <f t="shared" si="3"/>
        <v>24876544.724100001</v>
      </c>
    </row>
    <row r="73" spans="2:15" x14ac:dyDescent="0.2">
      <c r="D73" s="223" t="s">
        <v>144</v>
      </c>
      <c r="E73" s="221">
        <f>SUM(E65:E70)</f>
        <v>1549</v>
      </c>
      <c r="F73" s="221">
        <f t="shared" ref="F73:I73" si="4">SUM(F65:F70)</f>
        <v>396</v>
      </c>
      <c r="G73" s="222">
        <f t="shared" si="4"/>
        <v>2217003.5</v>
      </c>
      <c r="H73" s="222">
        <f t="shared" si="4"/>
        <v>4205175.4883999992</v>
      </c>
      <c r="I73" s="222">
        <f t="shared" si="4"/>
        <v>6422178.9883999992</v>
      </c>
    </row>
    <row r="74" spans="2:15" ht="12" customHeight="1" x14ac:dyDescent="0.2">
      <c r="D74" s="217" t="s">
        <v>25</v>
      </c>
      <c r="E74" s="217">
        <f>SUM(E61:E70)</f>
        <v>7451</v>
      </c>
      <c r="F74" s="217">
        <f t="shared" ref="F74:I74" si="5">SUM(F61:F70)</f>
        <v>1692</v>
      </c>
      <c r="G74" s="218">
        <f t="shared" si="5"/>
        <v>18637126.254500002</v>
      </c>
      <c r="H74" s="218">
        <f t="shared" si="5"/>
        <v>12661597.458000001</v>
      </c>
      <c r="I74" s="218">
        <f t="shared" si="5"/>
        <v>31298723.712500002</v>
      </c>
    </row>
    <row r="75" spans="2:15" x14ac:dyDescent="0.2">
      <c r="C75" s="136"/>
      <c r="D75" s="136"/>
      <c r="E75" s="136"/>
      <c r="F75" s="136"/>
      <c r="G75" s="138"/>
      <c r="H75" s="138"/>
      <c r="I75" s="138"/>
      <c r="J75" s="136"/>
      <c r="K75" s="136"/>
      <c r="L75" s="136"/>
      <c r="M75" s="137"/>
    </row>
    <row r="76" spans="2:15" x14ac:dyDescent="0.2">
      <c r="C76" s="136"/>
      <c r="D76" s="136"/>
      <c r="E76" s="136"/>
      <c r="F76" s="136"/>
      <c r="G76" s="138"/>
      <c r="H76" s="138"/>
      <c r="I76" s="138"/>
      <c r="J76" s="136"/>
      <c r="K76" s="136"/>
      <c r="L76" s="136"/>
      <c r="M76" s="137"/>
    </row>
    <row r="77" spans="2:15" ht="33.75" customHeight="1" x14ac:dyDescent="0.2">
      <c r="B77" s="151" t="s">
        <v>147</v>
      </c>
      <c r="C77" s="420" t="s">
        <v>154</v>
      </c>
      <c r="D77" s="421"/>
      <c r="E77" s="421"/>
      <c r="F77" s="421"/>
      <c r="G77" s="421"/>
      <c r="H77" s="421"/>
      <c r="I77" s="421"/>
      <c r="J77" s="421"/>
      <c r="K77" s="421"/>
      <c r="L77" s="421"/>
      <c r="M77" s="422"/>
    </row>
    <row r="78" spans="2:15" ht="58.5" customHeight="1" x14ac:dyDescent="0.2">
      <c r="B78" s="151" t="s">
        <v>148</v>
      </c>
      <c r="C78" s="420" t="s">
        <v>239</v>
      </c>
      <c r="D78" s="421"/>
      <c r="E78" s="421"/>
      <c r="F78" s="421"/>
      <c r="G78" s="421"/>
      <c r="H78" s="421"/>
      <c r="I78" s="421"/>
      <c r="J78" s="421"/>
      <c r="K78" s="421"/>
      <c r="L78" s="421"/>
      <c r="M78" s="422"/>
    </row>
    <row r="79" spans="2:15" ht="32.25" customHeight="1" x14ac:dyDescent="0.2">
      <c r="B79" s="151" t="s">
        <v>149</v>
      </c>
      <c r="C79" s="420" t="s">
        <v>264</v>
      </c>
      <c r="D79" s="421"/>
      <c r="E79" s="421"/>
      <c r="F79" s="421"/>
      <c r="G79" s="421"/>
      <c r="H79" s="421"/>
      <c r="I79" s="421"/>
      <c r="J79" s="421"/>
      <c r="K79" s="421"/>
      <c r="L79" s="421"/>
      <c r="M79" s="422"/>
    </row>
    <row r="80" spans="2:15" ht="32.25" customHeight="1" x14ac:dyDescent="0.2">
      <c r="O80" s="194"/>
    </row>
    <row r="81" spans="2:13" ht="32.25" customHeight="1" x14ac:dyDescent="0.2"/>
    <row r="82" spans="2:13" ht="40.5" customHeight="1" x14ac:dyDescent="0.2">
      <c r="B82" s="151" t="s">
        <v>155</v>
      </c>
      <c r="C82" s="420" t="s">
        <v>156</v>
      </c>
      <c r="D82" s="421"/>
      <c r="E82" s="421"/>
      <c r="F82" s="421"/>
      <c r="G82" s="421"/>
      <c r="H82" s="421"/>
      <c r="I82" s="421"/>
      <c r="J82" s="421"/>
      <c r="K82" s="421"/>
      <c r="L82" s="421"/>
      <c r="M82" s="422"/>
    </row>
    <row r="83" spans="2:13" ht="113.25" customHeight="1" x14ac:dyDescent="0.2">
      <c r="B83" s="151" t="s">
        <v>153</v>
      </c>
      <c r="C83" s="420" t="s">
        <v>240</v>
      </c>
      <c r="D83" s="421"/>
      <c r="E83" s="421"/>
      <c r="F83" s="421"/>
      <c r="G83" s="421"/>
      <c r="H83" s="421"/>
      <c r="I83" s="421"/>
      <c r="J83" s="421"/>
      <c r="K83" s="421"/>
      <c r="L83" s="421"/>
      <c r="M83" s="422"/>
    </row>
    <row r="84" spans="2:13" x14ac:dyDescent="0.2">
      <c r="B84" s="151" t="s">
        <v>157</v>
      </c>
      <c r="C84" s="420" t="s">
        <v>158</v>
      </c>
      <c r="D84" s="421"/>
      <c r="E84" s="421"/>
      <c r="F84" s="421"/>
      <c r="G84" s="421"/>
      <c r="H84" s="421"/>
      <c r="I84" s="421"/>
      <c r="J84" s="421"/>
      <c r="K84" s="421"/>
      <c r="L84" s="421"/>
      <c r="M84" s="422"/>
    </row>
    <row r="85" spans="2:13" x14ac:dyDescent="0.2">
      <c r="B85" s="151" t="s">
        <v>311</v>
      </c>
      <c r="C85" s="420" t="s">
        <v>310</v>
      </c>
      <c r="D85" s="421"/>
      <c r="E85" s="421"/>
      <c r="F85" s="421"/>
      <c r="G85" s="421"/>
      <c r="H85" s="421"/>
      <c r="I85" s="421"/>
      <c r="J85" s="421"/>
      <c r="K85" s="421"/>
      <c r="L85" s="421"/>
      <c r="M85" s="422"/>
    </row>
    <row r="86" spans="2:13" x14ac:dyDescent="0.2">
      <c r="B86" s="151" t="s">
        <v>314</v>
      </c>
      <c r="C86" s="420" t="s">
        <v>318</v>
      </c>
      <c r="D86" s="421"/>
      <c r="E86" s="421"/>
      <c r="F86" s="421"/>
      <c r="G86" s="421"/>
      <c r="H86" s="421"/>
      <c r="I86" s="421"/>
      <c r="J86" s="421"/>
      <c r="K86" s="421"/>
      <c r="L86" s="421"/>
      <c r="M86" s="422"/>
    </row>
  </sheetData>
  <autoFilter ref="B2:M70" xr:uid="{00000000-0001-0000-0A00-000000000000}"/>
  <mergeCells count="27">
    <mergeCell ref="B20:B21"/>
    <mergeCell ref="B22:B25"/>
    <mergeCell ref="B26:B29"/>
    <mergeCell ref="B30:B32"/>
    <mergeCell ref="C86:M86"/>
    <mergeCell ref="B54:B57"/>
    <mergeCell ref="B51:B53"/>
    <mergeCell ref="B48:B50"/>
    <mergeCell ref="B45:B47"/>
    <mergeCell ref="D60:J60"/>
    <mergeCell ref="C85:M85"/>
    <mergeCell ref="B3:B4"/>
    <mergeCell ref="C84:M84"/>
    <mergeCell ref="C77:M77"/>
    <mergeCell ref="C78:M78"/>
    <mergeCell ref="C82:M82"/>
    <mergeCell ref="C83:M83"/>
    <mergeCell ref="C79:M79"/>
    <mergeCell ref="B5:B6"/>
    <mergeCell ref="B7:B9"/>
    <mergeCell ref="B10:B11"/>
    <mergeCell ref="B12:B13"/>
    <mergeCell ref="B14:B16"/>
    <mergeCell ref="B38:B42"/>
    <mergeCell ref="B33:B37"/>
    <mergeCell ref="B43:B44"/>
    <mergeCell ref="B17:B19"/>
  </mergeCells>
  <phoneticPr fontId="30" type="noConversion"/>
  <pageMargins left="0.7" right="0.7" top="0.75" bottom="0.75" header="0.3" footer="0.3"/>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97709-2858-4215-9B6C-3A3EC9FB19CB}">
  <dimension ref="B2:K37"/>
  <sheetViews>
    <sheetView tabSelected="1" workbookViewId="0">
      <selection activeCell="D1" sqref="D1"/>
    </sheetView>
  </sheetViews>
  <sheetFormatPr defaultColWidth="9.42578125" defaultRowHeight="12.75" x14ac:dyDescent="0.2"/>
  <cols>
    <col min="1" max="1" width="3.5703125" style="134" customWidth="1"/>
    <col min="2" max="2" width="20.85546875" style="134" customWidth="1"/>
    <col min="3" max="3" width="40.28515625" style="134" customWidth="1"/>
    <col min="4" max="4" width="14.28515625" style="134" customWidth="1"/>
    <col min="5" max="5" width="15.28515625" style="134" customWidth="1"/>
    <col min="6" max="7" width="20.28515625" style="134" customWidth="1"/>
    <col min="8" max="8" width="22.42578125" style="134" customWidth="1"/>
    <col min="9" max="9" width="24.85546875" style="134" customWidth="1"/>
    <col min="10" max="10" width="9.140625" style="134"/>
    <col min="11" max="11" width="22.140625" style="134" customWidth="1"/>
    <col min="12" max="16384" width="9.42578125" style="134"/>
  </cols>
  <sheetData>
    <row r="2" spans="2:11" x14ac:dyDescent="0.2">
      <c r="B2" s="433" t="s">
        <v>238</v>
      </c>
      <c r="C2" s="433"/>
      <c r="D2" s="433"/>
      <c r="E2" s="433"/>
      <c r="F2" s="433"/>
      <c r="G2" s="433"/>
      <c r="H2" s="433"/>
      <c r="I2" s="433"/>
    </row>
    <row r="3" spans="2:11" ht="38.25" x14ac:dyDescent="0.2">
      <c r="B3" s="227" t="s">
        <v>276</v>
      </c>
      <c r="C3" s="227" t="s">
        <v>277</v>
      </c>
      <c r="D3" s="227" t="s">
        <v>278</v>
      </c>
      <c r="E3" s="227" t="s">
        <v>32</v>
      </c>
      <c r="F3" s="227" t="s">
        <v>279</v>
      </c>
      <c r="G3" s="227" t="s">
        <v>280</v>
      </c>
      <c r="H3" s="227" t="s">
        <v>281</v>
      </c>
      <c r="I3" s="227" t="s">
        <v>35</v>
      </c>
    </row>
    <row r="4" spans="2:11" ht="51" x14ac:dyDescent="0.2">
      <c r="B4" s="427" t="s">
        <v>282</v>
      </c>
      <c r="C4" s="229" t="s">
        <v>283</v>
      </c>
      <c r="D4" s="246">
        <f>'Izbrana rešitev (27.06.2023)'!F61</f>
        <v>184</v>
      </c>
      <c r="E4" s="246">
        <f>'Izbrana rešitev (27.06.2023)'!E61</f>
        <v>1259</v>
      </c>
      <c r="F4" s="231">
        <f>'Izbrana rešitev (27.06.2023)'!G61</f>
        <v>1280448.3999999999</v>
      </c>
      <c r="G4" s="434">
        <f>F4+F5</f>
        <v>4537097.1400000006</v>
      </c>
      <c r="H4" s="434">
        <f>'Izbrana rešitev (27.06.2023)'!H61+'Izbrana rešitev (27.06.2023)'!H62</f>
        <v>4231508.2127999999</v>
      </c>
      <c r="I4" s="434">
        <f>G4+H4</f>
        <v>8768605.3528000005</v>
      </c>
    </row>
    <row r="5" spans="2:11" ht="63.75" x14ac:dyDescent="0.2">
      <c r="B5" s="428"/>
      <c r="C5" s="229" t="s">
        <v>321</v>
      </c>
      <c r="D5" s="246">
        <f>'Izbrana rešitev (27.06.2023)'!F62</f>
        <v>322</v>
      </c>
      <c r="E5" s="246">
        <f>'Izbrana rešitev (27.06.2023)'!E62</f>
        <v>1467</v>
      </c>
      <c r="F5" s="231">
        <f>'Izbrana rešitev (27.06.2023)'!G62</f>
        <v>3256648.74</v>
      </c>
      <c r="G5" s="435"/>
      <c r="H5" s="435"/>
      <c r="I5" s="435"/>
      <c r="K5" s="270" t="s">
        <v>319</v>
      </c>
    </row>
    <row r="6" spans="2:11" ht="51" x14ac:dyDescent="0.2">
      <c r="B6" s="232" t="s">
        <v>284</v>
      </c>
      <c r="C6" s="229" t="s">
        <v>285</v>
      </c>
      <c r="D6" s="247">
        <f>'Izbrana rešitev (27.06.2023)'!F63+'Izbrana rešitev (27.06.2023)'!F64</f>
        <v>790</v>
      </c>
      <c r="E6" s="247">
        <f>'Izbrana rešitev (27.06.2023)'!E63+'Izbrana rešitev (27.06.2023)'!E64</f>
        <v>3176</v>
      </c>
      <c r="F6" s="231">
        <f>'Izbrana rešitev (27.06.2023)'!G63+'Izbrana rešitev (27.06.2023)'!G64</f>
        <v>11883025.614500001</v>
      </c>
      <c r="G6" s="234">
        <f>F6</f>
        <v>11883025.614500001</v>
      </c>
      <c r="H6" s="234">
        <f>'Izbrana rešitev (27.06.2023)'!H63+'Izbrana rešitev (27.06.2023)'!H64</f>
        <v>4224913.7567999996</v>
      </c>
      <c r="I6" s="234">
        <f>G6+H6</f>
        <v>16107939.371300001</v>
      </c>
    </row>
    <row r="7" spans="2:11" ht="38.25" x14ac:dyDescent="0.2">
      <c r="B7" s="228" t="s">
        <v>286</v>
      </c>
      <c r="C7" s="19" t="s">
        <v>287</v>
      </c>
      <c r="D7" s="247">
        <v>0</v>
      </c>
      <c r="E7" s="247">
        <v>0</v>
      </c>
      <c r="F7" s="235">
        <v>0</v>
      </c>
      <c r="G7" s="234">
        <v>0</v>
      </c>
      <c r="H7" s="234">
        <v>0</v>
      </c>
      <c r="I7" s="234">
        <v>0</v>
      </c>
    </row>
    <row r="8" spans="2:11" ht="38.25" x14ac:dyDescent="0.2">
      <c r="B8" s="427" t="s">
        <v>288</v>
      </c>
      <c r="C8" s="19" t="s">
        <v>289</v>
      </c>
      <c r="D8" s="247">
        <v>0</v>
      </c>
      <c r="E8" s="247">
        <v>0</v>
      </c>
      <c r="F8" s="235">
        <v>0</v>
      </c>
      <c r="G8" s="430">
        <v>0</v>
      </c>
      <c r="H8" s="430">
        <v>0</v>
      </c>
      <c r="I8" s="430">
        <v>0</v>
      </c>
    </row>
    <row r="9" spans="2:11" ht="63.75" x14ac:dyDescent="0.2">
      <c r="B9" s="428"/>
      <c r="C9" s="19" t="s">
        <v>290</v>
      </c>
      <c r="D9" s="247">
        <v>0</v>
      </c>
      <c r="E9" s="247">
        <v>0</v>
      </c>
      <c r="F9" s="235">
        <v>0</v>
      </c>
      <c r="G9" s="431"/>
      <c r="H9" s="431"/>
      <c r="I9" s="431"/>
      <c r="K9" s="138"/>
    </row>
    <row r="10" spans="2:11" ht="38.25" x14ac:dyDescent="0.2">
      <c r="B10" s="429"/>
      <c r="C10" s="19" t="s">
        <v>291</v>
      </c>
      <c r="D10" s="247">
        <v>0</v>
      </c>
      <c r="E10" s="247">
        <v>0</v>
      </c>
      <c r="F10" s="235">
        <v>0</v>
      </c>
      <c r="G10" s="432"/>
      <c r="H10" s="432"/>
      <c r="I10" s="432"/>
    </row>
    <row r="11" spans="2:11" ht="25.5" x14ac:dyDescent="0.2">
      <c r="B11" s="237" t="s">
        <v>292</v>
      </c>
      <c r="C11" s="19" t="s">
        <v>293</v>
      </c>
      <c r="D11" s="247">
        <v>0</v>
      </c>
      <c r="E11" s="247">
        <v>0</v>
      </c>
      <c r="F11" s="235">
        <v>0</v>
      </c>
      <c r="G11" s="236">
        <v>0</v>
      </c>
      <c r="H11" s="236">
        <v>0</v>
      </c>
      <c r="I11" s="236">
        <v>0</v>
      </c>
    </row>
    <row r="12" spans="2:11" ht="25.5" x14ac:dyDescent="0.2">
      <c r="B12" s="237" t="s">
        <v>294</v>
      </c>
      <c r="C12" s="19" t="s">
        <v>295</v>
      </c>
      <c r="D12" s="247">
        <v>0</v>
      </c>
      <c r="E12" s="247">
        <v>0</v>
      </c>
      <c r="F12" s="235">
        <v>0</v>
      </c>
      <c r="G12" s="236">
        <v>0</v>
      </c>
      <c r="H12" s="236">
        <v>0</v>
      </c>
      <c r="I12" s="236">
        <v>0</v>
      </c>
    </row>
    <row r="13" spans="2:11" x14ac:dyDescent="0.2">
      <c r="B13" s="238" t="s">
        <v>296</v>
      </c>
      <c r="C13" s="19" t="s">
        <v>296</v>
      </c>
      <c r="D13" s="247">
        <v>0</v>
      </c>
      <c r="E13" s="247">
        <v>0</v>
      </c>
      <c r="F13" s="235">
        <v>0</v>
      </c>
      <c r="G13" s="234">
        <v>0</v>
      </c>
      <c r="H13" s="234">
        <v>0</v>
      </c>
      <c r="I13" s="234">
        <v>0</v>
      </c>
    </row>
    <row r="14" spans="2:11" x14ac:dyDescent="0.2">
      <c r="B14" s="436" t="s">
        <v>25</v>
      </c>
      <c r="C14" s="436"/>
      <c r="D14" s="436"/>
      <c r="E14" s="436"/>
      <c r="F14" s="436"/>
      <c r="G14" s="249">
        <f>SUM(G4:G13)</f>
        <v>16420122.754500002</v>
      </c>
      <c r="H14" s="249">
        <f>SUM(H4:H13)</f>
        <v>8456421.9695999995</v>
      </c>
      <c r="I14" s="249">
        <f>SUM(I4:I13)</f>
        <v>24876544.724100001</v>
      </c>
    </row>
    <row r="15" spans="2:11" x14ac:dyDescent="0.2">
      <c r="B15" s="250"/>
      <c r="C15" s="251">
        <f>D15*100/D31</f>
        <v>76.59574468085107</v>
      </c>
      <c r="D15" s="252">
        <f>SUM(D4:D6)</f>
        <v>1296</v>
      </c>
      <c r="E15" s="252">
        <f>SUM(E4:E6)</f>
        <v>5902</v>
      </c>
      <c r="F15" s="253">
        <f>E15*100/E31</f>
        <v>79.210844181988989</v>
      </c>
      <c r="G15" s="253">
        <f t="shared" ref="G15:I15" si="0">SUM(G4:G6)</f>
        <v>16420122.754500002</v>
      </c>
      <c r="H15" s="253">
        <f t="shared" si="0"/>
        <v>8456421.9695999995</v>
      </c>
      <c r="I15" s="253">
        <f t="shared" si="0"/>
        <v>24876544.724100001</v>
      </c>
    </row>
    <row r="16" spans="2:11" x14ac:dyDescent="0.2">
      <c r="B16" s="437" t="s">
        <v>299</v>
      </c>
      <c r="C16" s="437"/>
      <c r="D16" s="437"/>
      <c r="E16" s="437"/>
      <c r="F16" s="437"/>
      <c r="G16" s="437"/>
      <c r="H16" s="437"/>
      <c r="I16" s="437"/>
    </row>
    <row r="17" spans="2:11" ht="38.25" x14ac:dyDescent="0.2">
      <c r="B17" s="227" t="s">
        <v>276</v>
      </c>
      <c r="C17" s="227" t="s">
        <v>277</v>
      </c>
      <c r="D17" s="227" t="s">
        <v>278</v>
      </c>
      <c r="E17" s="227" t="s">
        <v>32</v>
      </c>
      <c r="F17" s="227" t="s">
        <v>279</v>
      </c>
      <c r="G17" s="227" t="s">
        <v>280</v>
      </c>
      <c r="H17" s="227" t="s">
        <v>281</v>
      </c>
      <c r="I17" s="227" t="s">
        <v>35</v>
      </c>
    </row>
    <row r="18" spans="2:11" ht="51" x14ac:dyDescent="0.2">
      <c r="B18" s="427" t="s">
        <v>282</v>
      </c>
      <c r="C18" s="229" t="s">
        <v>283</v>
      </c>
      <c r="D18" s="230">
        <v>0</v>
      </c>
      <c r="E18" s="230">
        <v>0</v>
      </c>
      <c r="F18" s="230">
        <v>0</v>
      </c>
      <c r="G18" s="230">
        <v>0</v>
      </c>
      <c r="H18" s="230">
        <v>0</v>
      </c>
      <c r="I18" s="230">
        <v>0</v>
      </c>
    </row>
    <row r="19" spans="2:11" ht="63.75" x14ac:dyDescent="0.2">
      <c r="B19" s="428"/>
      <c r="C19" s="229" t="s">
        <v>321</v>
      </c>
      <c r="D19" s="230">
        <v>0</v>
      </c>
      <c r="E19" s="230">
        <v>0</v>
      </c>
      <c r="F19" s="230">
        <v>0</v>
      </c>
      <c r="G19" s="230">
        <v>0</v>
      </c>
      <c r="H19" s="230">
        <v>0</v>
      </c>
      <c r="I19" s="230">
        <v>0</v>
      </c>
      <c r="K19" s="270" t="s">
        <v>319</v>
      </c>
    </row>
    <row r="20" spans="2:11" ht="63.75" x14ac:dyDescent="0.2">
      <c r="B20" s="232" t="s">
        <v>284</v>
      </c>
      <c r="C20" s="229" t="s">
        <v>297</v>
      </c>
      <c r="D20" s="230">
        <v>0</v>
      </c>
      <c r="E20" s="230">
        <v>0</v>
      </c>
      <c r="F20" s="230">
        <v>0</v>
      </c>
      <c r="G20" s="230">
        <v>0</v>
      </c>
      <c r="H20" s="230">
        <v>0</v>
      </c>
      <c r="I20" s="230">
        <v>0</v>
      </c>
    </row>
    <row r="21" spans="2:11" ht="38.25" x14ac:dyDescent="0.2">
      <c r="B21" s="228" t="s">
        <v>286</v>
      </c>
      <c r="C21" s="229" t="s">
        <v>285</v>
      </c>
      <c r="D21" s="230">
        <v>0</v>
      </c>
      <c r="E21" s="230">
        <v>0</v>
      </c>
      <c r="F21" s="230">
        <v>0</v>
      </c>
      <c r="G21" s="230">
        <v>0</v>
      </c>
      <c r="H21" s="230">
        <v>0</v>
      </c>
      <c r="I21" s="230">
        <v>0</v>
      </c>
    </row>
    <row r="22" spans="2:11" ht="51" x14ac:dyDescent="0.2">
      <c r="B22" s="228" t="s">
        <v>298</v>
      </c>
      <c r="C22" s="19" t="s">
        <v>287</v>
      </c>
      <c r="D22" s="230">
        <v>0</v>
      </c>
      <c r="E22" s="230">
        <v>0</v>
      </c>
      <c r="F22" s="230">
        <v>0</v>
      </c>
      <c r="G22" s="230">
        <v>0</v>
      </c>
      <c r="H22" s="230">
        <v>0</v>
      </c>
      <c r="I22" s="230">
        <v>0</v>
      </c>
    </row>
    <row r="23" spans="2:11" ht="38.25" x14ac:dyDescent="0.2">
      <c r="B23" s="427" t="s">
        <v>288</v>
      </c>
      <c r="C23" s="19" t="s">
        <v>289</v>
      </c>
      <c r="D23" s="239">
        <f>'Izbrana rešitev (27.06.2023)'!F65</f>
        <v>57</v>
      </c>
      <c r="E23" s="239">
        <f>'Izbrana rešitev (27.06.2023)'!E65</f>
        <v>410</v>
      </c>
      <c r="F23" s="240">
        <f>'Izbrana rešitev (27.06.2023)'!G65</f>
        <v>448327.5</v>
      </c>
      <c r="G23" s="438">
        <f>SUM(F23:F25)</f>
        <v>2074623.5</v>
      </c>
      <c r="H23" s="438">
        <f>'Izbrana rešitev (27.06.2023)'!H65+'Izbrana rešitev (27.06.2023)'!H66+'Izbrana rešitev (27.06.2023)'!H67</f>
        <v>4157001.0599999996</v>
      </c>
      <c r="I23" s="438">
        <f>G23+H23</f>
        <v>6231624.5599999996</v>
      </c>
    </row>
    <row r="24" spans="2:11" ht="63.75" x14ac:dyDescent="0.2">
      <c r="B24" s="428"/>
      <c r="C24" s="19" t="s">
        <v>290</v>
      </c>
      <c r="D24" s="233">
        <f>'Izbrana rešitev (27.06.2023)'!F66</f>
        <v>111</v>
      </c>
      <c r="E24" s="233">
        <f>'Izbrana rešitev (27.06.2023)'!E66</f>
        <v>406</v>
      </c>
      <c r="F24" s="241">
        <f>'Izbrana rešitev (27.06.2023)'!G66</f>
        <v>576978</v>
      </c>
      <c r="G24" s="439"/>
      <c r="H24" s="439"/>
      <c r="I24" s="439"/>
    </row>
    <row r="25" spans="2:11" ht="38.25" x14ac:dyDescent="0.2">
      <c r="B25" s="429"/>
      <c r="C25" s="19" t="s">
        <v>291</v>
      </c>
      <c r="D25" s="233">
        <f>'Izbrana rešitev (27.06.2023)'!F67</f>
        <v>207</v>
      </c>
      <c r="E25" s="233">
        <f>'Izbrana rešitev (27.06.2023)'!E67</f>
        <v>712</v>
      </c>
      <c r="F25" s="241">
        <f>'Izbrana rešitev (27.06.2023)'!G67</f>
        <v>1049318</v>
      </c>
      <c r="G25" s="440"/>
      <c r="H25" s="440"/>
      <c r="I25" s="440"/>
    </row>
    <row r="26" spans="2:11" ht="25.5" x14ac:dyDescent="0.2">
      <c r="B26" s="237" t="s">
        <v>292</v>
      </c>
      <c r="C26" s="19" t="s">
        <v>293</v>
      </c>
      <c r="D26" s="239">
        <f>'Izbrana rešitev (27.06.2023)'!F68</f>
        <v>21</v>
      </c>
      <c r="E26" s="239">
        <f>'Izbrana rešitev (27.06.2023)'!E68</f>
        <v>21</v>
      </c>
      <c r="F26" s="243">
        <f>'Izbrana rešitev (27.06.2023)'!G68</f>
        <v>142379.99999999997</v>
      </c>
      <c r="G26" s="242">
        <f>F26</f>
        <v>142379.99999999997</v>
      </c>
      <c r="H26" s="242">
        <f>'Izbrana rešitev (27.06.2023)'!H68</f>
        <v>48174.428399999997</v>
      </c>
      <c r="I26" s="242">
        <f>G26+H26</f>
        <v>190554.42839999998</v>
      </c>
    </row>
    <row r="27" spans="2:11" ht="25.5" x14ac:dyDescent="0.2">
      <c r="B27" s="237" t="s">
        <v>294</v>
      </c>
      <c r="C27" s="19" t="s">
        <v>295</v>
      </c>
      <c r="D27" s="233">
        <f>'Izbrana rešitev (27.06.2023)'!E69</f>
        <v>0</v>
      </c>
      <c r="E27" s="233">
        <f>'Izbrana rešitev (27.06.2023)'!F69</f>
        <v>0</v>
      </c>
      <c r="F27" s="235">
        <v>0</v>
      </c>
      <c r="G27" s="236">
        <v>0</v>
      </c>
      <c r="H27" s="236">
        <v>0</v>
      </c>
      <c r="I27" s="236">
        <v>0</v>
      </c>
    </row>
    <row r="28" spans="2:11" x14ac:dyDescent="0.2">
      <c r="B28" s="238" t="s">
        <v>296</v>
      </c>
      <c r="C28" s="19" t="s">
        <v>296</v>
      </c>
      <c r="D28" s="239">
        <f>'Izbrana rešitev (27.06.2023)'!E70</f>
        <v>0</v>
      </c>
      <c r="E28" s="239">
        <f>'Izbrana rešitev (27.06.2023)'!F70</f>
        <v>0</v>
      </c>
      <c r="F28" s="243">
        <v>0</v>
      </c>
      <c r="G28" s="244">
        <v>0</v>
      </c>
      <c r="H28" s="245">
        <v>0</v>
      </c>
      <c r="I28" s="245">
        <v>0</v>
      </c>
    </row>
    <row r="29" spans="2:11" x14ac:dyDescent="0.2">
      <c r="B29" s="436" t="s">
        <v>25</v>
      </c>
      <c r="C29" s="436"/>
      <c r="D29" s="436"/>
      <c r="E29" s="436"/>
      <c r="F29" s="436"/>
      <c r="G29" s="249">
        <f>SUM(G18:G28)</f>
        <v>2217003.5</v>
      </c>
      <c r="H29" s="249">
        <f t="shared" ref="H29:I29" si="1">SUM(H18:H28)</f>
        <v>4205175.4883999992</v>
      </c>
      <c r="I29" s="249">
        <f t="shared" si="1"/>
        <v>6422178.9883999992</v>
      </c>
    </row>
    <row r="30" spans="2:11" x14ac:dyDescent="0.2">
      <c r="B30" s="254"/>
      <c r="C30" s="255">
        <f>D30*100/D31</f>
        <v>23.404255319148938</v>
      </c>
      <c r="D30" s="256">
        <f>SUM(D18:D28)</f>
        <v>396</v>
      </c>
      <c r="E30" s="256">
        <f>SUM(E18:E28)</f>
        <v>1549</v>
      </c>
      <c r="F30" s="255">
        <f>E30*100/E31</f>
        <v>20.789155818011004</v>
      </c>
      <c r="G30" s="257"/>
      <c r="H30" s="257"/>
      <c r="I30" s="257"/>
    </row>
    <row r="31" spans="2:11" x14ac:dyDescent="0.2">
      <c r="D31" s="219">
        <f>SUM(D18:D28,D4:D13)</f>
        <v>1692</v>
      </c>
      <c r="E31" s="219">
        <f>SUM(E18:E28,E4:E13)</f>
        <v>7451</v>
      </c>
      <c r="F31" s="142">
        <f t="shared" ref="F31:I31" si="2">SUM(F18:F28,F4:F13)</f>
        <v>18637126.254500002</v>
      </c>
      <c r="G31" s="142">
        <f t="shared" si="2"/>
        <v>18637126.254500002</v>
      </c>
      <c r="H31" s="142">
        <f t="shared" si="2"/>
        <v>12661597.457999999</v>
      </c>
      <c r="I31" s="142">
        <f t="shared" si="2"/>
        <v>31298723.712499999</v>
      </c>
    </row>
    <row r="32" spans="2:11" x14ac:dyDescent="0.2">
      <c r="E32" s="138"/>
      <c r="F32" s="138"/>
      <c r="G32" s="248"/>
      <c r="H32" s="248"/>
      <c r="I32" s="248"/>
    </row>
    <row r="33" spans="4:9" x14ac:dyDescent="0.2">
      <c r="D33" s="138"/>
      <c r="E33" s="138"/>
      <c r="F33" s="138"/>
    </row>
    <row r="35" spans="4:9" x14ac:dyDescent="0.2">
      <c r="G35" s="138"/>
      <c r="H35" s="138"/>
      <c r="I35" s="138"/>
    </row>
    <row r="37" spans="4:9" x14ac:dyDescent="0.2">
      <c r="G37" s="138"/>
      <c r="H37" s="138"/>
      <c r="I37" s="138"/>
    </row>
  </sheetData>
  <mergeCells count="17">
    <mergeCell ref="B29:F29"/>
    <mergeCell ref="B14:F14"/>
    <mergeCell ref="B16:I16"/>
    <mergeCell ref="B18:B19"/>
    <mergeCell ref="B23:B25"/>
    <mergeCell ref="G23:G25"/>
    <mergeCell ref="H23:H25"/>
    <mergeCell ref="I23:I25"/>
    <mergeCell ref="B8:B10"/>
    <mergeCell ref="G8:G10"/>
    <mergeCell ref="H8:H10"/>
    <mergeCell ref="I8:I10"/>
    <mergeCell ref="B2:I2"/>
    <mergeCell ref="B4:B5"/>
    <mergeCell ref="G4:G5"/>
    <mergeCell ref="H4:H5"/>
    <mergeCell ref="I4: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22"/>
  <sheetViews>
    <sheetView topLeftCell="A4" zoomScaleNormal="100" workbookViewId="0">
      <selection activeCell="G22" sqref="G22"/>
    </sheetView>
  </sheetViews>
  <sheetFormatPr defaultColWidth="9.140625" defaultRowHeight="16.5" x14ac:dyDescent="0.25"/>
  <cols>
    <col min="1" max="1" width="3.7109375" style="29" customWidth="1"/>
    <col min="2" max="4" width="18.85546875" style="6" customWidth="1"/>
    <col min="5" max="6" width="16.42578125" style="29" customWidth="1"/>
    <col min="7" max="7" width="11.42578125" style="29" customWidth="1"/>
    <col min="8" max="16384" width="9.140625" style="29"/>
  </cols>
  <sheetData>
    <row r="1" spans="2:9" ht="17.25" thickBot="1" x14ac:dyDescent="0.3"/>
    <row r="2" spans="2:9" ht="89.45" customHeight="1" x14ac:dyDescent="0.25">
      <c r="B2" s="99" t="s">
        <v>22</v>
      </c>
      <c r="C2" s="100" t="s">
        <v>37</v>
      </c>
      <c r="D2" s="100" t="s">
        <v>69</v>
      </c>
      <c r="E2" s="101" t="s">
        <v>26</v>
      </c>
      <c r="F2" s="101" t="s">
        <v>27</v>
      </c>
      <c r="G2" s="102" t="s">
        <v>23</v>
      </c>
    </row>
    <row r="3" spans="2:9" x14ac:dyDescent="0.3">
      <c r="B3" s="103" t="s">
        <v>163</v>
      </c>
      <c r="C3" s="38">
        <v>130</v>
      </c>
      <c r="D3" s="98">
        <v>130</v>
      </c>
      <c r="E3" s="38">
        <v>453</v>
      </c>
      <c r="F3" s="38">
        <v>38</v>
      </c>
      <c r="G3" s="104">
        <v>703</v>
      </c>
      <c r="I3" s="30"/>
    </row>
    <row r="4" spans="2:9" x14ac:dyDescent="0.3">
      <c r="B4" s="103" t="s">
        <v>164</v>
      </c>
      <c r="C4" s="38">
        <v>56</v>
      </c>
      <c r="D4" s="98">
        <v>56</v>
      </c>
      <c r="E4" s="38">
        <v>165</v>
      </c>
      <c r="F4" s="38">
        <v>12</v>
      </c>
      <c r="G4" s="104">
        <v>382</v>
      </c>
      <c r="I4" s="30"/>
    </row>
    <row r="5" spans="2:9" x14ac:dyDescent="0.3">
      <c r="B5" s="103" t="s">
        <v>161</v>
      </c>
      <c r="C5" s="38">
        <v>68</v>
      </c>
      <c r="D5" s="98">
        <v>68</v>
      </c>
      <c r="E5" s="38">
        <v>272</v>
      </c>
      <c r="F5" s="38">
        <v>8</v>
      </c>
      <c r="G5" s="104">
        <v>499</v>
      </c>
      <c r="I5" s="30"/>
    </row>
    <row r="6" spans="2:9" x14ac:dyDescent="0.3">
      <c r="B6" s="103" t="s">
        <v>165</v>
      </c>
      <c r="C6" s="38">
        <v>167</v>
      </c>
      <c r="D6" s="98">
        <v>167</v>
      </c>
      <c r="E6" s="38">
        <v>656</v>
      </c>
      <c r="F6" s="38">
        <v>45</v>
      </c>
      <c r="G6" s="104">
        <v>714</v>
      </c>
      <c r="I6" s="30"/>
    </row>
    <row r="7" spans="2:9" x14ac:dyDescent="0.3">
      <c r="B7" s="103" t="s">
        <v>166</v>
      </c>
      <c r="C7" s="38">
        <v>106</v>
      </c>
      <c r="D7" s="98">
        <v>106</v>
      </c>
      <c r="E7" s="38">
        <v>389</v>
      </c>
      <c r="F7" s="38">
        <v>17</v>
      </c>
      <c r="G7" s="104">
        <v>408</v>
      </c>
      <c r="I7" s="30"/>
    </row>
    <row r="8" spans="2:9" x14ac:dyDescent="0.3">
      <c r="B8" s="103" t="s">
        <v>167</v>
      </c>
      <c r="C8" s="38">
        <v>46</v>
      </c>
      <c r="D8" s="98">
        <v>46</v>
      </c>
      <c r="E8" s="38">
        <v>133</v>
      </c>
      <c r="F8" s="38">
        <v>10</v>
      </c>
      <c r="G8" s="104">
        <v>153</v>
      </c>
      <c r="I8" s="30"/>
    </row>
    <row r="9" spans="2:9" x14ac:dyDescent="0.3">
      <c r="B9" s="103" t="s">
        <v>168</v>
      </c>
      <c r="C9" s="38">
        <v>33</v>
      </c>
      <c r="D9" s="98">
        <v>33</v>
      </c>
      <c r="E9" s="38">
        <v>85</v>
      </c>
      <c r="F9" s="38">
        <v>2</v>
      </c>
      <c r="G9" s="104">
        <v>92</v>
      </c>
      <c r="I9" s="30"/>
    </row>
    <row r="10" spans="2:9" x14ac:dyDescent="0.3">
      <c r="B10" s="103" t="s">
        <v>169</v>
      </c>
      <c r="C10" s="38">
        <v>17</v>
      </c>
      <c r="D10" s="98">
        <v>17</v>
      </c>
      <c r="E10" s="38">
        <v>47</v>
      </c>
      <c r="F10" s="38">
        <v>1</v>
      </c>
      <c r="G10" s="104">
        <v>52</v>
      </c>
      <c r="I10" s="30"/>
    </row>
    <row r="11" spans="2:9" x14ac:dyDescent="0.3">
      <c r="B11" s="103" t="s">
        <v>170</v>
      </c>
      <c r="C11" s="38">
        <v>79</v>
      </c>
      <c r="D11" s="98">
        <v>79</v>
      </c>
      <c r="E11" s="38">
        <v>246</v>
      </c>
      <c r="F11" s="38">
        <v>12</v>
      </c>
      <c r="G11" s="104">
        <v>267</v>
      </c>
      <c r="I11" s="30"/>
    </row>
    <row r="12" spans="2:9" x14ac:dyDescent="0.3">
      <c r="B12" s="103" t="s">
        <v>171</v>
      </c>
      <c r="C12" s="38">
        <v>38</v>
      </c>
      <c r="D12" s="98">
        <v>38</v>
      </c>
      <c r="E12" s="38">
        <v>112</v>
      </c>
      <c r="F12" s="38">
        <v>6</v>
      </c>
      <c r="G12" s="104">
        <v>124</v>
      </c>
      <c r="I12" s="30"/>
    </row>
    <row r="13" spans="2:9" x14ac:dyDescent="0.3">
      <c r="B13" s="103" t="s">
        <v>172</v>
      </c>
      <c r="C13" s="38">
        <v>28</v>
      </c>
      <c r="D13" s="98">
        <v>28</v>
      </c>
      <c r="E13" s="38">
        <v>82</v>
      </c>
      <c r="F13" s="38">
        <v>1</v>
      </c>
      <c r="G13" s="104">
        <v>86</v>
      </c>
      <c r="I13" s="30"/>
    </row>
    <row r="14" spans="2:9" x14ac:dyDescent="0.3">
      <c r="B14" s="103" t="s">
        <v>173</v>
      </c>
      <c r="C14" s="38">
        <v>92</v>
      </c>
      <c r="D14" s="98">
        <v>92</v>
      </c>
      <c r="E14" s="38">
        <v>312</v>
      </c>
      <c r="F14" s="38">
        <v>15</v>
      </c>
      <c r="G14" s="104">
        <v>330</v>
      </c>
      <c r="I14" s="30"/>
    </row>
    <row r="15" spans="2:9" x14ac:dyDescent="0.3">
      <c r="B15" s="103" t="s">
        <v>174</v>
      </c>
      <c r="C15" s="38">
        <v>254</v>
      </c>
      <c r="D15" s="98">
        <v>254</v>
      </c>
      <c r="E15" s="38">
        <v>883</v>
      </c>
      <c r="F15" s="38">
        <v>50</v>
      </c>
      <c r="G15" s="104">
        <v>950</v>
      </c>
      <c r="I15" s="30"/>
    </row>
    <row r="16" spans="2:9" x14ac:dyDescent="0.3">
      <c r="B16" s="103" t="s">
        <v>162</v>
      </c>
      <c r="C16" s="38">
        <v>200</v>
      </c>
      <c r="D16" s="98">
        <v>200</v>
      </c>
      <c r="E16" s="38">
        <v>1205</v>
      </c>
      <c r="F16" s="38">
        <v>101</v>
      </c>
      <c r="G16" s="104">
        <v>1312</v>
      </c>
      <c r="I16" s="30"/>
    </row>
    <row r="17" spans="2:9" x14ac:dyDescent="0.3">
      <c r="B17" s="103" t="s">
        <v>175</v>
      </c>
      <c r="C17" s="38">
        <v>156</v>
      </c>
      <c r="D17" s="98">
        <v>156</v>
      </c>
      <c r="E17" s="38">
        <v>498</v>
      </c>
      <c r="F17" s="38">
        <v>22</v>
      </c>
      <c r="G17" s="104">
        <v>532</v>
      </c>
      <c r="I17" s="30"/>
    </row>
    <row r="18" spans="2:9" x14ac:dyDescent="0.3">
      <c r="B18" s="103" t="s">
        <v>176</v>
      </c>
      <c r="C18" s="38">
        <v>12</v>
      </c>
      <c r="D18" s="98">
        <v>12</v>
      </c>
      <c r="E18" s="38">
        <v>22</v>
      </c>
      <c r="F18" s="38">
        <v>0</v>
      </c>
      <c r="G18" s="104">
        <v>23</v>
      </c>
      <c r="I18" s="30"/>
    </row>
    <row r="19" spans="2:9" x14ac:dyDescent="0.3">
      <c r="B19" s="103" t="s">
        <v>177</v>
      </c>
      <c r="C19" s="38">
        <v>107</v>
      </c>
      <c r="D19" s="98">
        <v>107</v>
      </c>
      <c r="E19" s="38">
        <v>420</v>
      </c>
      <c r="F19" s="38">
        <v>12</v>
      </c>
      <c r="G19" s="104">
        <v>436</v>
      </c>
      <c r="I19" s="30"/>
    </row>
    <row r="20" spans="2:9" x14ac:dyDescent="0.3">
      <c r="B20" s="103" t="s">
        <v>178</v>
      </c>
      <c r="C20" s="38">
        <v>33</v>
      </c>
      <c r="D20" s="98">
        <v>33</v>
      </c>
      <c r="E20" s="38">
        <v>105</v>
      </c>
      <c r="F20" s="38">
        <v>2</v>
      </c>
      <c r="G20" s="104">
        <v>110</v>
      </c>
      <c r="I20" s="30"/>
    </row>
    <row r="21" spans="2:9" ht="17.25" thickBot="1" x14ac:dyDescent="0.35">
      <c r="B21" s="103" t="s">
        <v>179</v>
      </c>
      <c r="C21" s="38">
        <v>70</v>
      </c>
      <c r="D21" s="98">
        <v>70</v>
      </c>
      <c r="E21" s="38">
        <v>254</v>
      </c>
      <c r="F21" s="38">
        <v>20</v>
      </c>
      <c r="G21" s="104">
        <v>278</v>
      </c>
      <c r="I21" s="30"/>
    </row>
    <row r="22" spans="2:9" ht="17.25" thickBot="1" x14ac:dyDescent="0.3">
      <c r="B22" s="145" t="s">
        <v>25</v>
      </c>
      <c r="C22" s="146">
        <f>SUM(C3:C21)</f>
        <v>1692</v>
      </c>
      <c r="D22" s="146">
        <f t="shared" ref="D22:G22" si="0">SUM(D3:D21)</f>
        <v>1692</v>
      </c>
      <c r="E22" s="146">
        <f t="shared" si="0"/>
        <v>6339</v>
      </c>
      <c r="F22" s="146">
        <f t="shared" si="0"/>
        <v>374</v>
      </c>
      <c r="G22" s="147">
        <f t="shared" si="0"/>
        <v>7451</v>
      </c>
      <c r="I22" s="30"/>
    </row>
  </sheetData>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4"/>
  <sheetViews>
    <sheetView zoomScaleNormal="100" workbookViewId="0">
      <selection activeCell="N17" sqref="N17"/>
    </sheetView>
  </sheetViews>
  <sheetFormatPr defaultColWidth="8.85546875" defaultRowHeight="12.75" x14ac:dyDescent="0.2"/>
  <cols>
    <col min="1" max="1" width="8.85546875" style="1"/>
    <col min="2" max="2" width="4.28515625" style="1" customWidth="1"/>
    <col min="3" max="3" width="23" style="1" customWidth="1"/>
    <col min="4" max="4" width="20.28515625" style="1" customWidth="1"/>
    <col min="5" max="6" width="15.7109375" style="1" customWidth="1"/>
    <col min="7" max="9" width="18.5703125" style="1" customWidth="1"/>
    <col min="10" max="12" width="15.7109375" style="1" customWidth="1"/>
    <col min="13" max="13" width="14.7109375" style="1" customWidth="1"/>
    <col min="14" max="14" width="15.7109375" style="1" customWidth="1"/>
    <col min="15" max="15" width="8.85546875" style="1"/>
    <col min="16" max="16" width="40.28515625" style="1" customWidth="1"/>
    <col min="17" max="17" width="8.85546875" style="1"/>
    <col min="18" max="18" width="14.28515625" style="1" customWidth="1"/>
    <col min="19" max="19" width="15.28515625" style="1" customWidth="1"/>
    <col min="20" max="20" width="14.5703125" style="1" customWidth="1"/>
    <col min="21" max="16384" width="8.85546875" style="1"/>
  </cols>
  <sheetData>
    <row r="1" spans="2:16" ht="13.5" thickBot="1" x14ac:dyDescent="0.25"/>
    <row r="2" spans="2:16" ht="14.45" customHeight="1" thickBot="1" x14ac:dyDescent="0.25">
      <c r="C2" s="318" t="s">
        <v>242</v>
      </c>
      <c r="D2" s="319"/>
      <c r="E2" s="319"/>
      <c r="F2" s="319"/>
      <c r="G2" s="319"/>
      <c r="H2" s="319"/>
      <c r="I2" s="319"/>
      <c r="J2" s="319"/>
      <c r="K2" s="319"/>
      <c r="L2" s="319"/>
      <c r="M2" s="319"/>
      <c r="N2" s="320"/>
    </row>
    <row r="3" spans="2:16" ht="51" x14ac:dyDescent="0.2">
      <c r="C3" s="323" t="s">
        <v>0</v>
      </c>
      <c r="D3" s="321" t="s">
        <v>20</v>
      </c>
      <c r="E3" s="321" t="s">
        <v>21</v>
      </c>
      <c r="F3" s="331" t="s">
        <v>38</v>
      </c>
      <c r="G3" s="107" t="s">
        <v>2</v>
      </c>
      <c r="H3" s="321" t="s">
        <v>45</v>
      </c>
      <c r="I3" s="331" t="s">
        <v>46</v>
      </c>
      <c r="J3" s="107" t="s">
        <v>19</v>
      </c>
      <c r="K3" s="107" t="s">
        <v>101</v>
      </c>
      <c r="L3" s="107" t="s">
        <v>195</v>
      </c>
      <c r="M3" s="107" t="s">
        <v>33</v>
      </c>
      <c r="N3" s="2" t="s">
        <v>34</v>
      </c>
      <c r="P3" s="1" t="s">
        <v>52</v>
      </c>
    </row>
    <row r="4" spans="2:16" ht="15.75" customHeight="1" thickBot="1" x14ac:dyDescent="0.25">
      <c r="C4" s="324"/>
      <c r="D4" s="322"/>
      <c r="E4" s="322"/>
      <c r="F4" s="338"/>
      <c r="G4" s="108" t="s">
        <v>3</v>
      </c>
      <c r="H4" s="322"/>
      <c r="I4" s="332"/>
      <c r="J4" s="108" t="s">
        <v>5</v>
      </c>
      <c r="K4" s="108" t="s">
        <v>71</v>
      </c>
      <c r="L4" s="108" t="s">
        <v>7</v>
      </c>
      <c r="M4" s="108" t="s">
        <v>7</v>
      </c>
      <c r="N4" s="35" t="s">
        <v>7</v>
      </c>
    </row>
    <row r="5" spans="2:16" ht="34.5" customHeight="1" x14ac:dyDescent="0.2">
      <c r="B5" s="310" t="s">
        <v>68</v>
      </c>
      <c r="C5" s="308" t="s">
        <v>70</v>
      </c>
      <c r="D5" s="124" t="s">
        <v>161</v>
      </c>
      <c r="E5" s="197">
        <v>412</v>
      </c>
      <c r="F5" s="197">
        <v>43</v>
      </c>
      <c r="G5" s="336" t="s">
        <v>160</v>
      </c>
      <c r="H5" s="336" t="s">
        <v>194</v>
      </c>
      <c r="I5" s="336" t="s">
        <v>194</v>
      </c>
      <c r="J5" s="327">
        <f>3182.86</f>
        <v>3182.86</v>
      </c>
      <c r="K5" s="327">
        <f>PODLAGE!D7</f>
        <v>308</v>
      </c>
      <c r="L5" s="325">
        <f>J5*K5</f>
        <v>980320.88</v>
      </c>
      <c r="M5" s="327">
        <f>(((E5+E6)*PODLAGE!$I$9*PODLAGE!$I$16)+((F5+F6)*PODLAGE!$J$16*12))*20</f>
        <v>1663943.4504</v>
      </c>
      <c r="N5" s="329">
        <f>SUM(L5:M6)</f>
        <v>2644264.3303999999</v>
      </c>
    </row>
    <row r="6" spans="2:16" ht="34.5" customHeight="1" x14ac:dyDescent="0.2">
      <c r="B6" s="311"/>
      <c r="C6" s="309"/>
      <c r="D6" s="8" t="s">
        <v>162</v>
      </c>
      <c r="E6" s="14">
        <v>691</v>
      </c>
      <c r="F6" s="14">
        <v>92</v>
      </c>
      <c r="G6" s="337"/>
      <c r="H6" s="337"/>
      <c r="I6" s="337"/>
      <c r="J6" s="328"/>
      <c r="K6" s="328"/>
      <c r="L6" s="326"/>
      <c r="M6" s="328"/>
      <c r="N6" s="330"/>
    </row>
    <row r="7" spans="2:16" ht="34.5" customHeight="1" thickBot="1" x14ac:dyDescent="0.25">
      <c r="B7" s="311"/>
      <c r="C7" s="309"/>
      <c r="D7" s="260" t="s">
        <v>305</v>
      </c>
      <c r="E7" s="261">
        <v>156</v>
      </c>
      <c r="F7" s="261">
        <v>49</v>
      </c>
      <c r="G7" s="159" t="s">
        <v>304</v>
      </c>
      <c r="H7" s="159" t="s">
        <v>194</v>
      </c>
      <c r="I7" s="159" t="s">
        <v>194</v>
      </c>
      <c r="J7" s="262">
        <v>974.44</v>
      </c>
      <c r="K7" s="262">
        <f>PODLAGE!D7</f>
        <v>308</v>
      </c>
      <c r="L7" s="263">
        <f>J7*K7</f>
        <v>300127.52</v>
      </c>
      <c r="M7" s="262">
        <f>(((E7)*PODLAGE!$I$9*PODLAGE!$I$16)+((F7)*PODLAGE!$J$16*12))*20</f>
        <v>256013.52479999998</v>
      </c>
      <c r="N7" s="264">
        <f>SUM(L7:M7)</f>
        <v>556141.04480000003</v>
      </c>
    </row>
    <row r="8" spans="2:16" ht="34.5" customHeight="1" x14ac:dyDescent="0.2">
      <c r="B8" s="312" t="s">
        <v>106</v>
      </c>
      <c r="C8" s="315" t="s">
        <v>193</v>
      </c>
      <c r="D8" s="124" t="s">
        <v>161</v>
      </c>
      <c r="E8" s="197">
        <v>67</v>
      </c>
      <c r="F8" s="197">
        <v>21</v>
      </c>
      <c r="G8" s="336" t="s">
        <v>160</v>
      </c>
      <c r="H8" s="336" t="s">
        <v>30</v>
      </c>
      <c r="I8" s="173" t="s">
        <v>47</v>
      </c>
      <c r="J8" s="174">
        <v>850.26</v>
      </c>
      <c r="K8" s="167">
        <f>PODLAGE!D6</f>
        <v>176</v>
      </c>
      <c r="L8" s="175">
        <f t="shared" ref="L8:L9" si="0">J8*K8</f>
        <v>149645.76000000001</v>
      </c>
      <c r="M8" s="341">
        <f>(((E8+E9+E10+E11+E13)*PODLAGE!$I$9*PODLAGE!$I$16)+((F8+F9+F10+F11+F13)*PODLAGE!$J$16*12))*20</f>
        <v>2311551.2375999996</v>
      </c>
      <c r="N8" s="333">
        <f>SUM(L8:M13)</f>
        <v>5568199.9775999989</v>
      </c>
    </row>
    <row r="9" spans="2:16" ht="34.5" customHeight="1" x14ac:dyDescent="0.2">
      <c r="B9" s="313"/>
      <c r="C9" s="316"/>
      <c r="D9" s="8" t="s">
        <v>162</v>
      </c>
      <c r="E9" s="14">
        <v>621</v>
      </c>
      <c r="F9" s="14">
        <v>108</v>
      </c>
      <c r="G9" s="337"/>
      <c r="H9" s="337"/>
      <c r="I9" s="170" t="s">
        <v>49</v>
      </c>
      <c r="J9" s="36">
        <v>5995.7499999999991</v>
      </c>
      <c r="K9" s="36">
        <f>PODLAGE!D8</f>
        <v>440</v>
      </c>
      <c r="L9" s="115">
        <f t="shared" si="0"/>
        <v>2638129.9999999995</v>
      </c>
      <c r="M9" s="342"/>
      <c r="N9" s="334"/>
    </row>
    <row r="10" spans="2:16" ht="34.5" customHeight="1" x14ac:dyDescent="0.2">
      <c r="B10" s="313"/>
      <c r="C10" s="316"/>
      <c r="D10" s="8" t="s">
        <v>177</v>
      </c>
      <c r="E10" s="14">
        <v>411</v>
      </c>
      <c r="F10" s="14">
        <v>101</v>
      </c>
      <c r="G10" s="337"/>
      <c r="H10" s="139" t="s">
        <v>29</v>
      </c>
      <c r="I10" s="139" t="s">
        <v>49</v>
      </c>
      <c r="J10" s="7">
        <v>290.95999999999998</v>
      </c>
      <c r="K10" s="10">
        <f>PODLAGE!D11</f>
        <v>282.5</v>
      </c>
      <c r="L10" s="115">
        <f t="shared" ref="L10:L13" si="1">J10*K10</f>
        <v>82196.2</v>
      </c>
      <c r="M10" s="342"/>
      <c r="N10" s="334"/>
      <c r="P10" s="9"/>
    </row>
    <row r="11" spans="2:16" ht="15" customHeight="1" x14ac:dyDescent="0.2">
      <c r="B11" s="313"/>
      <c r="C11" s="316"/>
      <c r="D11" s="339" t="s">
        <v>179</v>
      </c>
      <c r="E11" s="340">
        <v>278</v>
      </c>
      <c r="F11" s="340">
        <v>70</v>
      </c>
      <c r="G11" s="337"/>
      <c r="H11" s="139" t="s">
        <v>114</v>
      </c>
      <c r="I11" s="139" t="s">
        <v>14</v>
      </c>
      <c r="J11" s="10">
        <v>63.22</v>
      </c>
      <c r="K11" s="10">
        <f>PODLAGE!D16</f>
        <v>338.99999999999994</v>
      </c>
      <c r="L11" s="115">
        <f t="shared" si="1"/>
        <v>21431.579999999994</v>
      </c>
      <c r="M11" s="342"/>
      <c r="N11" s="334"/>
    </row>
    <row r="12" spans="2:16" ht="15.75" customHeight="1" x14ac:dyDescent="0.2">
      <c r="B12" s="313"/>
      <c r="C12" s="316"/>
      <c r="D12" s="339"/>
      <c r="E12" s="340"/>
      <c r="F12" s="340"/>
      <c r="G12" s="337"/>
      <c r="H12" s="139" t="s">
        <v>196</v>
      </c>
      <c r="I12" s="139" t="s">
        <v>14</v>
      </c>
      <c r="J12" s="7">
        <v>1</v>
      </c>
      <c r="K12" s="10">
        <f>PODLAGE!D13</f>
        <v>141250</v>
      </c>
      <c r="L12" s="115">
        <f t="shared" si="1"/>
        <v>141250</v>
      </c>
      <c r="M12" s="342"/>
      <c r="N12" s="334"/>
    </row>
    <row r="13" spans="2:16" ht="15.75" customHeight="1" thickBot="1" x14ac:dyDescent="0.25">
      <c r="B13" s="314"/>
      <c r="C13" s="317"/>
      <c r="D13" s="265" t="s">
        <v>305</v>
      </c>
      <c r="E13" s="266">
        <v>90</v>
      </c>
      <c r="F13" s="266">
        <v>22</v>
      </c>
      <c r="G13" s="125" t="s">
        <v>304</v>
      </c>
      <c r="H13" s="125" t="s">
        <v>30</v>
      </c>
      <c r="I13" s="125" t="s">
        <v>49</v>
      </c>
      <c r="J13" s="28">
        <v>509.08</v>
      </c>
      <c r="K13" s="72">
        <f>PODLAGE!D8</f>
        <v>440</v>
      </c>
      <c r="L13" s="116">
        <f t="shared" si="1"/>
        <v>223995.19999999998</v>
      </c>
      <c r="M13" s="343"/>
      <c r="N13" s="335"/>
    </row>
    <row r="15" spans="2:16" x14ac:dyDescent="0.2">
      <c r="C15" s="1" t="s">
        <v>209</v>
      </c>
      <c r="D15" s="92" t="s">
        <v>68</v>
      </c>
      <c r="E15" s="94">
        <f>SUM(E5:E7)</f>
        <v>1259</v>
      </c>
      <c r="F15" s="94">
        <f>SUM(F5:F7)</f>
        <v>184</v>
      </c>
      <c r="J15" s="155">
        <f>SUM(J5:J7)</f>
        <v>4157.3</v>
      </c>
      <c r="L15" s="155">
        <f>SUM(L5:L7)</f>
        <v>1280448.3999999999</v>
      </c>
      <c r="M15" s="155">
        <f t="shared" ref="M15:N15" si="2">SUM(M5:M7)</f>
        <v>1919956.9752</v>
      </c>
      <c r="N15" s="155">
        <f t="shared" si="2"/>
        <v>3200405.3751999997</v>
      </c>
    </row>
    <row r="16" spans="2:16" x14ac:dyDescent="0.2">
      <c r="D16" s="92" t="s">
        <v>106</v>
      </c>
      <c r="E16" s="94">
        <f>SUM(E8:E13)</f>
        <v>1467</v>
      </c>
      <c r="F16" s="94">
        <f>SUM(F8:F13)</f>
        <v>322</v>
      </c>
      <c r="J16" s="155">
        <f>SUM(J8:J13)</f>
        <v>7710.2699999999995</v>
      </c>
      <c r="L16" s="155">
        <f>SUM(L8:L13)</f>
        <v>3256648.74</v>
      </c>
      <c r="M16" s="155">
        <f t="shared" ref="M16:N16" si="3">SUM(M8:M13)</f>
        <v>2311551.2375999996</v>
      </c>
      <c r="N16" s="155">
        <f t="shared" si="3"/>
        <v>5568199.9775999989</v>
      </c>
    </row>
    <row r="17" spans="4:14" x14ac:dyDescent="0.2">
      <c r="D17" s="92" t="s">
        <v>35</v>
      </c>
      <c r="E17" s="94">
        <f>SUM(E15:E16)</f>
        <v>2726</v>
      </c>
      <c r="F17" s="94">
        <f>SUM(F15:F16)</f>
        <v>506</v>
      </c>
      <c r="J17" s="93">
        <f>SUM(J15:J16)</f>
        <v>11867.57</v>
      </c>
      <c r="L17" s="176">
        <f t="shared" ref="L17:N17" si="4">SUM(L15:L16)</f>
        <v>4537097.1400000006</v>
      </c>
      <c r="M17" s="93">
        <f t="shared" si="4"/>
        <v>4231508.2127999999</v>
      </c>
      <c r="N17" s="176">
        <f t="shared" si="4"/>
        <v>8768605.3527999986</v>
      </c>
    </row>
    <row r="18" spans="4:14" x14ac:dyDescent="0.2">
      <c r="E18" s="78"/>
    </row>
    <row r="19" spans="4:14" x14ac:dyDescent="0.2">
      <c r="F19" s="78"/>
      <c r="M19" s="9"/>
    </row>
    <row r="20" spans="4:14" x14ac:dyDescent="0.2">
      <c r="M20" s="9"/>
      <c r="N20" s="9"/>
    </row>
    <row r="21" spans="4:14" x14ac:dyDescent="0.2">
      <c r="E21" s="78"/>
      <c r="M21" s="9"/>
      <c r="N21" s="9"/>
    </row>
    <row r="22" spans="4:14" ht="25.5" customHeight="1" x14ac:dyDescent="0.2">
      <c r="E22" s="78"/>
      <c r="M22" s="9"/>
    </row>
    <row r="23" spans="4:14" ht="25.5" customHeight="1" x14ac:dyDescent="0.2">
      <c r="M23" s="9"/>
      <c r="N23" s="9"/>
    </row>
    <row r="24" spans="4:14" x14ac:dyDescent="0.2">
      <c r="M24" s="9"/>
      <c r="N24" s="9"/>
    </row>
  </sheetData>
  <mergeCells count="26">
    <mergeCell ref="D11:D12"/>
    <mergeCell ref="E11:E12"/>
    <mergeCell ref="F11:F12"/>
    <mergeCell ref="G8:G12"/>
    <mergeCell ref="M8:M13"/>
    <mergeCell ref="K5:K6"/>
    <mergeCell ref="J5:J6"/>
    <mergeCell ref="H8:H9"/>
    <mergeCell ref="I5:I6"/>
    <mergeCell ref="H5:H6"/>
    <mergeCell ref="C5:C7"/>
    <mergeCell ref="B5:B7"/>
    <mergeCell ref="B8:B13"/>
    <mergeCell ref="C8:C13"/>
    <mergeCell ref="C2:N2"/>
    <mergeCell ref="E3:E4"/>
    <mergeCell ref="C3:C4"/>
    <mergeCell ref="D3:D4"/>
    <mergeCell ref="L5:L6"/>
    <mergeCell ref="M5:M6"/>
    <mergeCell ref="N5:N6"/>
    <mergeCell ref="I3:I4"/>
    <mergeCell ref="H3:H4"/>
    <mergeCell ref="N8:N13"/>
    <mergeCell ref="G5:G6"/>
    <mergeCell ref="F3:F4"/>
  </mergeCells>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11"/>
  <sheetViews>
    <sheetView topLeftCell="A49" zoomScaleNormal="100" workbookViewId="0">
      <selection activeCell="C60" sqref="C60:C67"/>
    </sheetView>
  </sheetViews>
  <sheetFormatPr defaultColWidth="8.85546875" defaultRowHeight="12.75" x14ac:dyDescent="0.2"/>
  <cols>
    <col min="1" max="1" width="8.85546875" style="1"/>
    <col min="2" max="2" width="4.5703125" style="1" customWidth="1"/>
    <col min="3" max="3" width="17.28515625" style="1" customWidth="1"/>
    <col min="4" max="4" width="11.28515625" style="1" customWidth="1"/>
    <col min="5" max="5" width="11.85546875" style="1" customWidth="1"/>
    <col min="6" max="6" width="10.7109375" style="1" customWidth="1"/>
    <col min="7" max="7" width="9.85546875" style="1" customWidth="1"/>
    <col min="8" max="8" width="10.28515625" style="1" customWidth="1"/>
    <col min="9" max="9" width="15.7109375" style="1" customWidth="1"/>
    <col min="10" max="10" width="10.5703125" style="1" customWidth="1"/>
    <col min="11" max="11" width="11.28515625" style="1" customWidth="1"/>
    <col min="12" max="12" width="10" style="1" customWidth="1"/>
    <col min="13" max="13" width="12.7109375" style="1" customWidth="1"/>
    <col min="14" max="15" width="11.140625" style="1" customWidth="1"/>
    <col min="16" max="16" width="11.5703125" style="1" customWidth="1"/>
    <col min="17" max="17" width="17.5703125" style="20" customWidth="1"/>
    <col min="18" max="18" width="11" style="1" bestFit="1" customWidth="1"/>
    <col min="19" max="19" width="13.28515625" style="1" customWidth="1"/>
    <col min="20" max="20" width="11.28515625" style="1" customWidth="1"/>
    <col min="21" max="21" width="9.5703125" style="1" customWidth="1"/>
    <col min="22" max="22" width="12.42578125" style="1" customWidth="1"/>
    <col min="23" max="23" width="42.28515625" style="1" customWidth="1"/>
    <col min="24" max="24" width="27.7109375" style="1" customWidth="1"/>
    <col min="25" max="25" width="10" style="1" bestFit="1" customWidth="1"/>
    <col min="26" max="26" width="49.5703125" style="1" customWidth="1"/>
    <col min="27" max="16384" width="8.85546875" style="1"/>
  </cols>
  <sheetData>
    <row r="1" spans="1:26" ht="13.5" thickBot="1" x14ac:dyDescent="0.25"/>
    <row r="2" spans="1:26" ht="39" thickBot="1" x14ac:dyDescent="0.25">
      <c r="B2" s="76" t="s">
        <v>117</v>
      </c>
      <c r="C2" s="387" t="s">
        <v>204</v>
      </c>
      <c r="D2" s="388"/>
      <c r="E2" s="388"/>
      <c r="F2" s="388"/>
      <c r="G2" s="388"/>
      <c r="H2" s="388"/>
      <c r="I2" s="388"/>
      <c r="J2" s="388"/>
      <c r="K2" s="388"/>
      <c r="L2" s="388"/>
      <c r="M2" s="388"/>
      <c r="N2" s="388"/>
      <c r="O2" s="388"/>
      <c r="P2" s="388"/>
      <c r="Q2" s="388"/>
      <c r="R2" s="388"/>
      <c r="S2" s="388"/>
      <c r="T2" s="389"/>
    </row>
    <row r="3" spans="1:26" ht="89.25" customHeight="1" x14ac:dyDescent="0.2">
      <c r="A3" s="379" t="s">
        <v>180</v>
      </c>
      <c r="B3" s="376">
        <v>1</v>
      </c>
      <c r="C3" s="344" t="s">
        <v>0</v>
      </c>
      <c r="D3" s="331" t="s">
        <v>1</v>
      </c>
      <c r="E3" s="331" t="s">
        <v>38</v>
      </c>
      <c r="F3" s="107" t="s">
        <v>2</v>
      </c>
      <c r="G3" s="107" t="s">
        <v>44</v>
      </c>
      <c r="H3" s="331" t="s">
        <v>45</v>
      </c>
      <c r="I3" s="331" t="s">
        <v>46</v>
      </c>
      <c r="J3" s="107" t="s">
        <v>4</v>
      </c>
      <c r="K3" s="107" t="s">
        <v>40</v>
      </c>
      <c r="L3" s="107" t="s">
        <v>6</v>
      </c>
      <c r="M3" s="107" t="s">
        <v>42</v>
      </c>
      <c r="N3" s="107" t="s">
        <v>43</v>
      </c>
      <c r="O3" s="107" t="s">
        <v>36</v>
      </c>
      <c r="P3" s="107" t="s">
        <v>9</v>
      </c>
      <c r="Q3" s="107" t="s">
        <v>28</v>
      </c>
      <c r="R3" s="107" t="s">
        <v>33</v>
      </c>
      <c r="S3" s="107" t="s">
        <v>34</v>
      </c>
      <c r="T3" s="34" t="s">
        <v>73</v>
      </c>
      <c r="U3" s="358" t="s">
        <v>203</v>
      </c>
      <c r="V3" s="347">
        <f>Q5</f>
        <v>2087718.5872500006</v>
      </c>
      <c r="W3" s="362" t="s">
        <v>243</v>
      </c>
    </row>
    <row r="4" spans="1:26" ht="12.75" customHeight="1" x14ac:dyDescent="0.2">
      <c r="A4" s="380"/>
      <c r="B4" s="377"/>
      <c r="C4" s="345"/>
      <c r="D4" s="346"/>
      <c r="E4" s="346"/>
      <c r="F4" s="122" t="s">
        <v>39</v>
      </c>
      <c r="G4" s="122" t="s">
        <v>41</v>
      </c>
      <c r="H4" s="346"/>
      <c r="I4" s="346"/>
      <c r="J4" s="122" t="s">
        <v>5</v>
      </c>
      <c r="K4" s="122" t="s">
        <v>5</v>
      </c>
      <c r="L4" s="122" t="s">
        <v>7</v>
      </c>
      <c r="M4" s="122" t="s">
        <v>8</v>
      </c>
      <c r="N4" s="122" t="s">
        <v>7</v>
      </c>
      <c r="O4" s="122" t="s">
        <v>7</v>
      </c>
      <c r="P4" s="122" t="s">
        <v>7</v>
      </c>
      <c r="Q4" s="122" t="s">
        <v>7</v>
      </c>
      <c r="R4" s="122" t="s">
        <v>7</v>
      </c>
      <c r="S4" s="122" t="s">
        <v>7</v>
      </c>
      <c r="T4" s="33" t="s">
        <v>74</v>
      </c>
      <c r="U4" s="359"/>
      <c r="V4" s="348"/>
      <c r="W4" s="363"/>
    </row>
    <row r="5" spans="1:26" ht="12.75" customHeight="1" x14ac:dyDescent="0.2">
      <c r="A5" s="380"/>
      <c r="B5" s="377"/>
      <c r="C5" s="316" t="s">
        <v>244</v>
      </c>
      <c r="D5" s="350">
        <v>884</v>
      </c>
      <c r="E5" s="350">
        <v>184</v>
      </c>
      <c r="F5" s="337" t="s">
        <v>160</v>
      </c>
      <c r="G5" s="337" t="s">
        <v>230</v>
      </c>
      <c r="H5" s="361" t="s">
        <v>30</v>
      </c>
      <c r="I5" s="19" t="s">
        <v>47</v>
      </c>
      <c r="J5" s="36">
        <v>188.54</v>
      </c>
      <c r="K5" s="337" t="s">
        <v>104</v>
      </c>
      <c r="L5" s="337">
        <v>0</v>
      </c>
      <c r="M5" s="10">
        <f>PODLAGE!$D$6</f>
        <v>176</v>
      </c>
      <c r="N5" s="36">
        <f>J5*M5</f>
        <v>33183.040000000001</v>
      </c>
      <c r="O5" s="337">
        <f>(PODLAGE!$D$13)</f>
        <v>141250</v>
      </c>
      <c r="P5" s="367">
        <f>SUM(N5:N12)*1.1+O5+L5</f>
        <v>2087718.5872500006</v>
      </c>
      <c r="Q5" s="367">
        <f>SUM(P5)</f>
        <v>2087718.5872500006</v>
      </c>
      <c r="R5" s="367">
        <f>((D5*PODLAGE!$I$9*PODLAGE!$I$22)+(E5*PODLAGE!$J$22*12))*20</f>
        <v>1160329.3152000001</v>
      </c>
      <c r="S5" s="367">
        <f>SUM(Q5:R12)</f>
        <v>3248047.9024500009</v>
      </c>
      <c r="T5" s="368">
        <f>S5/D5</f>
        <v>3674.2623330882361</v>
      </c>
      <c r="U5" s="359"/>
      <c r="V5" s="348"/>
      <c r="W5" s="363"/>
    </row>
    <row r="6" spans="1:26" ht="12.75" customHeight="1" x14ac:dyDescent="0.2">
      <c r="A6" s="380"/>
      <c r="B6" s="377"/>
      <c r="C6" s="316"/>
      <c r="D6" s="350"/>
      <c r="E6" s="350"/>
      <c r="F6" s="337"/>
      <c r="G6" s="337"/>
      <c r="H6" s="361"/>
      <c r="I6" s="19" t="s">
        <v>48</v>
      </c>
      <c r="J6" s="36">
        <v>235.94</v>
      </c>
      <c r="K6" s="337"/>
      <c r="L6" s="337"/>
      <c r="M6" s="10">
        <f>PODLAGE!$D$7</f>
        <v>308</v>
      </c>
      <c r="N6" s="36">
        <f t="shared" ref="N6:N12" si="0">J6*M6</f>
        <v>72669.52</v>
      </c>
      <c r="O6" s="337"/>
      <c r="P6" s="367"/>
      <c r="Q6" s="367"/>
      <c r="R6" s="367"/>
      <c r="S6" s="367"/>
      <c r="T6" s="368"/>
      <c r="U6" s="359"/>
      <c r="V6" s="348"/>
      <c r="W6" s="363"/>
    </row>
    <row r="7" spans="1:26" ht="12.75" customHeight="1" x14ac:dyDescent="0.2">
      <c r="A7" s="380"/>
      <c r="B7" s="377"/>
      <c r="C7" s="316"/>
      <c r="D7" s="350"/>
      <c r="E7" s="350"/>
      <c r="F7" s="337"/>
      <c r="G7" s="337"/>
      <c r="H7" s="361"/>
      <c r="I7" s="19" t="s">
        <v>49</v>
      </c>
      <c r="J7" s="36">
        <v>3550.5000000000005</v>
      </c>
      <c r="K7" s="337"/>
      <c r="L7" s="337"/>
      <c r="M7" s="10">
        <f>PODLAGE!$D$8</f>
        <v>440</v>
      </c>
      <c r="N7" s="36">
        <f t="shared" si="0"/>
        <v>1562220.0000000002</v>
      </c>
      <c r="O7" s="337"/>
      <c r="P7" s="367"/>
      <c r="Q7" s="367"/>
      <c r="R7" s="367"/>
      <c r="S7" s="367"/>
      <c r="T7" s="368"/>
      <c r="U7" s="359"/>
      <c r="V7" s="348"/>
      <c r="W7" s="363"/>
      <c r="Z7" s="9"/>
    </row>
    <row r="8" spans="1:26" ht="12.75" customHeight="1" x14ac:dyDescent="0.2">
      <c r="A8" s="380"/>
      <c r="B8" s="377"/>
      <c r="C8" s="316"/>
      <c r="D8" s="350"/>
      <c r="E8" s="350"/>
      <c r="F8" s="337"/>
      <c r="G8" s="337"/>
      <c r="H8" s="361" t="s">
        <v>29</v>
      </c>
      <c r="I8" s="19" t="s">
        <v>47</v>
      </c>
      <c r="J8" s="36">
        <v>0</v>
      </c>
      <c r="K8" s="337"/>
      <c r="L8" s="337"/>
      <c r="M8" s="10">
        <f>PODLAGE!$D$9</f>
        <v>112.99999999999999</v>
      </c>
      <c r="N8" s="36">
        <f t="shared" si="0"/>
        <v>0</v>
      </c>
      <c r="O8" s="337"/>
      <c r="P8" s="367"/>
      <c r="Q8" s="367"/>
      <c r="R8" s="367"/>
      <c r="S8" s="367"/>
      <c r="T8" s="368"/>
      <c r="U8" s="359"/>
      <c r="V8" s="348"/>
      <c r="W8" s="363"/>
    </row>
    <row r="9" spans="1:26" ht="12.75" customHeight="1" x14ac:dyDescent="0.2">
      <c r="A9" s="380"/>
      <c r="B9" s="377"/>
      <c r="C9" s="316"/>
      <c r="D9" s="350"/>
      <c r="E9" s="350"/>
      <c r="F9" s="337"/>
      <c r="G9" s="337"/>
      <c r="H9" s="390"/>
      <c r="I9" s="19" t="s">
        <v>48</v>
      </c>
      <c r="J9" s="36">
        <v>382.33</v>
      </c>
      <c r="K9" s="337"/>
      <c r="L9" s="337"/>
      <c r="M9" s="10">
        <f>PODLAGE!$D$10</f>
        <v>197.74999999999997</v>
      </c>
      <c r="N9" s="36">
        <f t="shared" si="0"/>
        <v>75605.757499999992</v>
      </c>
      <c r="O9" s="337"/>
      <c r="P9" s="367"/>
      <c r="Q9" s="367"/>
      <c r="R9" s="367"/>
      <c r="S9" s="367"/>
      <c r="T9" s="368"/>
      <c r="U9" s="359"/>
      <c r="V9" s="348"/>
      <c r="W9" s="363"/>
    </row>
    <row r="10" spans="1:26" ht="12.75" customHeight="1" x14ac:dyDescent="0.2">
      <c r="A10" s="380"/>
      <c r="B10" s="377"/>
      <c r="C10" s="316"/>
      <c r="D10" s="350"/>
      <c r="E10" s="350"/>
      <c r="F10" s="337"/>
      <c r="G10" s="337"/>
      <c r="H10" s="391"/>
      <c r="I10" s="19" t="s">
        <v>49</v>
      </c>
      <c r="J10" s="36">
        <v>0</v>
      </c>
      <c r="K10" s="337"/>
      <c r="L10" s="337"/>
      <c r="M10" s="10">
        <f>PODLAGE!$D$11</f>
        <v>282.5</v>
      </c>
      <c r="N10" s="36">
        <f t="shared" si="0"/>
        <v>0</v>
      </c>
      <c r="O10" s="337"/>
      <c r="P10" s="367"/>
      <c r="Q10" s="367"/>
      <c r="R10" s="367"/>
      <c r="S10" s="367"/>
      <c r="T10" s="368"/>
      <c r="U10" s="359"/>
      <c r="V10" s="348"/>
      <c r="W10" s="363"/>
    </row>
    <row r="11" spans="1:26" ht="12.75" customHeight="1" x14ac:dyDescent="0.2">
      <c r="A11" s="380"/>
      <c r="B11" s="377"/>
      <c r="C11" s="316"/>
      <c r="D11" s="350"/>
      <c r="E11" s="350"/>
      <c r="F11" s="337"/>
      <c r="G11" s="337"/>
      <c r="H11" s="361" t="s">
        <v>114</v>
      </c>
      <c r="I11" s="19" t="s">
        <v>115</v>
      </c>
      <c r="J11" s="36">
        <v>0</v>
      </c>
      <c r="K11" s="337"/>
      <c r="L11" s="337"/>
      <c r="M11" s="10">
        <f>PODLAGE!$D$15</f>
        <v>225.99999999999997</v>
      </c>
      <c r="N11" s="36">
        <f t="shared" si="0"/>
        <v>0</v>
      </c>
      <c r="O11" s="337"/>
      <c r="P11" s="367"/>
      <c r="Q11" s="367"/>
      <c r="R11" s="367"/>
      <c r="S11" s="367"/>
      <c r="T11" s="368"/>
      <c r="U11" s="359"/>
      <c r="V11" s="348"/>
      <c r="W11" s="363"/>
    </row>
    <row r="12" spans="1:26" ht="12.75" customHeight="1" thickBot="1" x14ac:dyDescent="0.25">
      <c r="A12" s="380"/>
      <c r="B12" s="377"/>
      <c r="C12" s="316"/>
      <c r="D12" s="350"/>
      <c r="E12" s="350"/>
      <c r="F12" s="337"/>
      <c r="G12" s="337"/>
      <c r="H12" s="361"/>
      <c r="I12" s="19" t="s">
        <v>116</v>
      </c>
      <c r="J12" s="36">
        <v>76.22</v>
      </c>
      <c r="K12" s="337"/>
      <c r="L12" s="337"/>
      <c r="M12" s="10">
        <f>PODLAGE!$D$16</f>
        <v>338.99999999999994</v>
      </c>
      <c r="N12" s="36">
        <f t="shared" si="0"/>
        <v>25838.579999999994</v>
      </c>
      <c r="O12" s="337"/>
      <c r="P12" s="367"/>
      <c r="Q12" s="367"/>
      <c r="R12" s="367"/>
      <c r="S12" s="367"/>
      <c r="T12" s="368"/>
      <c r="U12" s="359"/>
      <c r="V12" s="348"/>
      <c r="W12" s="364"/>
    </row>
    <row r="13" spans="1:26" ht="89.25" customHeight="1" x14ac:dyDescent="0.2">
      <c r="A13" s="380"/>
      <c r="B13" s="376">
        <v>2</v>
      </c>
      <c r="C13" s="383" t="s">
        <v>20</v>
      </c>
      <c r="D13" s="384" t="s">
        <v>31</v>
      </c>
      <c r="E13" s="382" t="s">
        <v>1</v>
      </c>
      <c r="F13" s="112" t="s">
        <v>10</v>
      </c>
      <c r="G13" s="112" t="s">
        <v>12</v>
      </c>
      <c r="H13" s="382" t="s">
        <v>14</v>
      </c>
      <c r="I13" s="382" t="s">
        <v>14</v>
      </c>
      <c r="J13" s="382" t="s">
        <v>14</v>
      </c>
      <c r="K13" s="382" t="s">
        <v>14</v>
      </c>
      <c r="L13" s="382" t="s">
        <v>14</v>
      </c>
      <c r="M13" s="382" t="s">
        <v>14</v>
      </c>
      <c r="N13" s="382" t="s">
        <v>14</v>
      </c>
      <c r="O13" s="112" t="s">
        <v>36</v>
      </c>
      <c r="P13" s="112" t="s">
        <v>15</v>
      </c>
      <c r="Q13" s="112" t="s">
        <v>28</v>
      </c>
      <c r="R13" s="112" t="s">
        <v>33</v>
      </c>
      <c r="S13" s="112" t="s">
        <v>34</v>
      </c>
      <c r="T13" s="80" t="s">
        <v>73</v>
      </c>
      <c r="U13" s="358" t="s">
        <v>202</v>
      </c>
      <c r="V13" s="347">
        <f>Q15</f>
        <v>1118869.5</v>
      </c>
    </row>
    <row r="14" spans="1:26" ht="12.75" customHeight="1" x14ac:dyDescent="0.2">
      <c r="A14" s="380"/>
      <c r="B14" s="377"/>
      <c r="C14" s="345"/>
      <c r="D14" s="385"/>
      <c r="E14" s="346"/>
      <c r="F14" s="122" t="s">
        <v>11</v>
      </c>
      <c r="G14" s="122" t="s">
        <v>13</v>
      </c>
      <c r="H14" s="346"/>
      <c r="I14" s="346"/>
      <c r="J14" s="346"/>
      <c r="K14" s="346"/>
      <c r="L14" s="346"/>
      <c r="M14" s="346"/>
      <c r="N14" s="346"/>
      <c r="O14" s="122" t="s">
        <v>7</v>
      </c>
      <c r="P14" s="122" t="s">
        <v>7</v>
      </c>
      <c r="Q14" s="122" t="s">
        <v>7</v>
      </c>
      <c r="R14" s="122" t="s">
        <v>7</v>
      </c>
      <c r="S14" s="122" t="s">
        <v>7</v>
      </c>
      <c r="T14" s="33" t="s">
        <v>74</v>
      </c>
      <c r="U14" s="359"/>
      <c r="V14" s="348"/>
    </row>
    <row r="15" spans="1:26" ht="12.75" customHeight="1" x14ac:dyDescent="0.2">
      <c r="A15" s="380"/>
      <c r="B15" s="377"/>
      <c r="C15" s="316" t="s">
        <v>225</v>
      </c>
      <c r="D15" s="4" t="s">
        <v>16</v>
      </c>
      <c r="E15" s="7">
        <v>412</v>
      </c>
      <c r="F15" s="7">
        <v>147</v>
      </c>
      <c r="G15" s="5">
        <f>PODLAGE!$E$37</f>
        <v>4294</v>
      </c>
      <c r="H15" s="113" t="s">
        <v>14</v>
      </c>
      <c r="I15" s="113" t="s">
        <v>14</v>
      </c>
      <c r="J15" s="113" t="s">
        <v>14</v>
      </c>
      <c r="K15" s="113" t="s">
        <v>14</v>
      </c>
      <c r="L15" s="113" t="s">
        <v>14</v>
      </c>
      <c r="M15" s="113" t="s">
        <v>14</v>
      </c>
      <c r="N15" s="113" t="s">
        <v>14</v>
      </c>
      <c r="O15" s="370">
        <v>0</v>
      </c>
      <c r="P15" s="77">
        <f>F15*G15</f>
        <v>631218</v>
      </c>
      <c r="Q15" s="367">
        <f>SUM(O15:P18)</f>
        <v>1118869.5</v>
      </c>
      <c r="R15" s="10">
        <f>F15*PODLAGE!$K$25</f>
        <v>1364178.375</v>
      </c>
      <c r="S15" s="372">
        <f>SUM(Q15:R18)</f>
        <v>3300688.7549999999</v>
      </c>
      <c r="T15" s="374">
        <f>S15/(E15+E16+E17+E18)</f>
        <v>3733.8108088235294</v>
      </c>
      <c r="U15" s="359"/>
      <c r="V15" s="348"/>
    </row>
    <row r="16" spans="1:26" ht="12.75" customHeight="1" x14ac:dyDescent="0.2">
      <c r="A16" s="380"/>
      <c r="B16" s="377"/>
      <c r="C16" s="386"/>
      <c r="D16" s="119" t="s">
        <v>17</v>
      </c>
      <c r="E16" s="120">
        <v>223</v>
      </c>
      <c r="F16" s="7">
        <v>32</v>
      </c>
      <c r="G16" s="5">
        <f>PODLAGE!$E$38</f>
        <v>7909.9999999999991</v>
      </c>
      <c r="H16" s="113" t="s">
        <v>14</v>
      </c>
      <c r="I16" s="113" t="s">
        <v>14</v>
      </c>
      <c r="J16" s="113" t="s">
        <v>14</v>
      </c>
      <c r="K16" s="113" t="s">
        <v>14</v>
      </c>
      <c r="L16" s="113" t="s">
        <v>14</v>
      </c>
      <c r="M16" s="113" t="s">
        <v>14</v>
      </c>
      <c r="N16" s="113" t="s">
        <v>14</v>
      </c>
      <c r="O16" s="371"/>
      <c r="P16" s="77">
        <f t="shared" ref="P16:P18" si="1">F16*G16</f>
        <v>253119.99999999997</v>
      </c>
      <c r="Q16" s="354"/>
      <c r="R16" s="10">
        <f>F16*PODLAGE!$K$26</f>
        <v>475142.39999999991</v>
      </c>
      <c r="S16" s="373"/>
      <c r="T16" s="375"/>
      <c r="U16" s="359"/>
      <c r="V16" s="348"/>
    </row>
    <row r="17" spans="1:26" ht="12.75" customHeight="1" x14ac:dyDescent="0.2">
      <c r="A17" s="380"/>
      <c r="B17" s="377"/>
      <c r="C17" s="386"/>
      <c r="D17" s="119" t="s">
        <v>18</v>
      </c>
      <c r="E17" s="120">
        <v>49</v>
      </c>
      <c r="F17" s="7">
        <v>4</v>
      </c>
      <c r="G17" s="5">
        <f>PODLAGE!$E$39</f>
        <v>14689.999999999998</v>
      </c>
      <c r="H17" s="113" t="s">
        <v>14</v>
      </c>
      <c r="I17" s="113" t="s">
        <v>14</v>
      </c>
      <c r="J17" s="113" t="s">
        <v>14</v>
      </c>
      <c r="K17" s="113" t="s">
        <v>14</v>
      </c>
      <c r="L17" s="113" t="s">
        <v>14</v>
      </c>
      <c r="M17" s="113" t="s">
        <v>14</v>
      </c>
      <c r="N17" s="113" t="s">
        <v>14</v>
      </c>
      <c r="O17" s="371"/>
      <c r="P17" s="77">
        <f t="shared" si="1"/>
        <v>58759.999999999993</v>
      </c>
      <c r="Q17" s="354"/>
      <c r="R17" s="10">
        <f>F17*PODLAGE!$K$27</f>
        <v>95028.479999999981</v>
      </c>
      <c r="S17" s="373"/>
      <c r="T17" s="375"/>
      <c r="U17" s="359"/>
      <c r="V17" s="348"/>
    </row>
    <row r="18" spans="1:26" ht="13.5" customHeight="1" thickBot="1" x14ac:dyDescent="0.25">
      <c r="A18" s="381"/>
      <c r="B18" s="378"/>
      <c r="C18" s="386"/>
      <c r="D18" s="119" t="s">
        <v>197</v>
      </c>
      <c r="E18" s="120">
        <v>200</v>
      </c>
      <c r="F18" s="7">
        <v>1</v>
      </c>
      <c r="G18" s="5">
        <f>PODLAGE!$E$27</f>
        <v>175771.5</v>
      </c>
      <c r="H18" s="113" t="s">
        <v>14</v>
      </c>
      <c r="I18" s="113" t="s">
        <v>14</v>
      </c>
      <c r="J18" s="113" t="s">
        <v>14</v>
      </c>
      <c r="K18" s="113" t="s">
        <v>14</v>
      </c>
      <c r="L18" s="113" t="s">
        <v>14</v>
      </c>
      <c r="M18" s="113" t="s">
        <v>14</v>
      </c>
      <c r="N18" s="113" t="s">
        <v>14</v>
      </c>
      <c r="O18" s="371"/>
      <c r="P18" s="77">
        <f t="shared" si="1"/>
        <v>175771.5</v>
      </c>
      <c r="Q18" s="354"/>
      <c r="R18" s="121">
        <f>F18*PODLAGE!$K$32</f>
        <v>247469.99999999997</v>
      </c>
      <c r="S18" s="373"/>
      <c r="T18" s="375"/>
      <c r="U18" s="360"/>
      <c r="V18" s="349"/>
    </row>
    <row r="19" spans="1:26" ht="89.25" customHeight="1" x14ac:dyDescent="0.2">
      <c r="A19" s="379" t="s">
        <v>182</v>
      </c>
      <c r="B19" s="376">
        <v>1</v>
      </c>
      <c r="C19" s="344" t="s">
        <v>0</v>
      </c>
      <c r="D19" s="331" t="s">
        <v>1</v>
      </c>
      <c r="E19" s="331" t="s">
        <v>38</v>
      </c>
      <c r="F19" s="107" t="s">
        <v>2</v>
      </c>
      <c r="G19" s="107" t="s">
        <v>44</v>
      </c>
      <c r="H19" s="331" t="s">
        <v>45</v>
      </c>
      <c r="I19" s="331" t="s">
        <v>46</v>
      </c>
      <c r="J19" s="107" t="s">
        <v>4</v>
      </c>
      <c r="K19" s="107" t="s">
        <v>40</v>
      </c>
      <c r="L19" s="107" t="s">
        <v>6</v>
      </c>
      <c r="M19" s="107" t="s">
        <v>42</v>
      </c>
      <c r="N19" s="107" t="s">
        <v>43</v>
      </c>
      <c r="O19" s="107" t="s">
        <v>36</v>
      </c>
      <c r="P19" s="107" t="s">
        <v>9</v>
      </c>
      <c r="Q19" s="107" t="s">
        <v>28</v>
      </c>
      <c r="R19" s="107" t="s">
        <v>33</v>
      </c>
      <c r="S19" s="107" t="s">
        <v>34</v>
      </c>
      <c r="T19" s="34" t="s">
        <v>73</v>
      </c>
      <c r="U19" s="358" t="s">
        <v>269</v>
      </c>
      <c r="V19" s="347">
        <f>Q21</f>
        <v>4764022.7970000003</v>
      </c>
    </row>
    <row r="20" spans="1:26" ht="12.75" customHeight="1" x14ac:dyDescent="0.2">
      <c r="A20" s="380"/>
      <c r="B20" s="377"/>
      <c r="C20" s="345"/>
      <c r="D20" s="346"/>
      <c r="E20" s="346"/>
      <c r="F20" s="122" t="s">
        <v>39</v>
      </c>
      <c r="G20" s="122" t="s">
        <v>41</v>
      </c>
      <c r="H20" s="346"/>
      <c r="I20" s="346"/>
      <c r="J20" s="122" t="s">
        <v>5</v>
      </c>
      <c r="K20" s="122" t="s">
        <v>5</v>
      </c>
      <c r="L20" s="122" t="s">
        <v>7</v>
      </c>
      <c r="M20" s="122" t="s">
        <v>8</v>
      </c>
      <c r="N20" s="122" t="s">
        <v>7</v>
      </c>
      <c r="O20" s="122" t="s">
        <v>7</v>
      </c>
      <c r="P20" s="122" t="s">
        <v>7</v>
      </c>
      <c r="Q20" s="122" t="s">
        <v>7</v>
      </c>
      <c r="R20" s="122" t="s">
        <v>7</v>
      </c>
      <c r="S20" s="122" t="s">
        <v>7</v>
      </c>
      <c r="T20" s="33" t="s">
        <v>74</v>
      </c>
      <c r="U20" s="359"/>
      <c r="V20" s="348"/>
    </row>
    <row r="21" spans="1:26" ht="12.75" customHeight="1" x14ac:dyDescent="0.2">
      <c r="A21" s="380"/>
      <c r="B21" s="377"/>
      <c r="C21" s="316" t="s">
        <v>265</v>
      </c>
      <c r="D21" s="350">
        <v>914</v>
      </c>
      <c r="E21" s="350">
        <v>245</v>
      </c>
      <c r="F21" s="337" t="s">
        <v>205</v>
      </c>
      <c r="G21" s="337" t="s">
        <v>231</v>
      </c>
      <c r="H21" s="361" t="s">
        <v>30</v>
      </c>
      <c r="I21" s="19" t="s">
        <v>47</v>
      </c>
      <c r="J21" s="36">
        <v>2036.02</v>
      </c>
      <c r="K21" s="337" t="s">
        <v>104</v>
      </c>
      <c r="L21" s="337">
        <f>PODLAGE!D31</f>
        <v>1000000</v>
      </c>
      <c r="M21" s="10">
        <f>PODLAGE!$D$6</f>
        <v>176</v>
      </c>
      <c r="N21" s="36">
        <f>J21*M21</f>
        <v>358339.52</v>
      </c>
      <c r="O21" s="337">
        <f>((PODLAGE!$D$13)*4)+PODLAGE!D17</f>
        <v>566130</v>
      </c>
      <c r="P21" s="367">
        <f>SUM(N21:N28)*1.1+O21+L21</f>
        <v>4764022.7970000003</v>
      </c>
      <c r="Q21" s="367">
        <f>SUM(P21)</f>
        <v>4764022.7970000003</v>
      </c>
      <c r="R21" s="367">
        <f>((D21*PODLAGE!$I$9*PODLAGE!$I$22)+(E21*PODLAGE!$J$22*12))*20</f>
        <v>1223544.1151999999</v>
      </c>
      <c r="S21" s="367">
        <f>SUM(Q21:R28)</f>
        <v>5987566.9122000001</v>
      </c>
      <c r="T21" s="368">
        <f>S21/D21</f>
        <v>6550.9484816192562</v>
      </c>
      <c r="U21" s="359"/>
      <c r="V21" s="348"/>
    </row>
    <row r="22" spans="1:26" ht="12.75" customHeight="1" x14ac:dyDescent="0.2">
      <c r="A22" s="380"/>
      <c r="B22" s="377"/>
      <c r="C22" s="316"/>
      <c r="D22" s="350"/>
      <c r="E22" s="350"/>
      <c r="F22" s="337"/>
      <c r="G22" s="337"/>
      <c r="H22" s="361"/>
      <c r="I22" s="19" t="s">
        <v>48</v>
      </c>
      <c r="J22" s="36">
        <v>1386.2</v>
      </c>
      <c r="K22" s="337"/>
      <c r="L22" s="337"/>
      <c r="M22" s="10">
        <f>PODLAGE!$D$7</f>
        <v>308</v>
      </c>
      <c r="N22" s="36">
        <f t="shared" ref="N22:N28" si="2">J22*M22</f>
        <v>426949.60000000003</v>
      </c>
      <c r="O22" s="337"/>
      <c r="P22" s="367"/>
      <c r="Q22" s="367"/>
      <c r="R22" s="367"/>
      <c r="S22" s="367"/>
      <c r="T22" s="368"/>
      <c r="U22" s="359"/>
      <c r="V22" s="348"/>
    </row>
    <row r="23" spans="1:26" ht="12.75" customHeight="1" x14ac:dyDescent="0.2">
      <c r="A23" s="380"/>
      <c r="B23" s="377"/>
      <c r="C23" s="316"/>
      <c r="D23" s="350"/>
      <c r="E23" s="350"/>
      <c r="F23" s="337"/>
      <c r="G23" s="337"/>
      <c r="H23" s="361"/>
      <c r="I23" s="19" t="s">
        <v>49</v>
      </c>
      <c r="J23" s="36">
        <v>4501.5099999999993</v>
      </c>
      <c r="K23" s="337"/>
      <c r="L23" s="337"/>
      <c r="M23" s="10">
        <f>PODLAGE!$D$8</f>
        <v>440</v>
      </c>
      <c r="N23" s="36">
        <f t="shared" si="2"/>
        <v>1980664.3999999997</v>
      </c>
      <c r="O23" s="337"/>
      <c r="P23" s="367"/>
      <c r="Q23" s="367"/>
      <c r="R23" s="367"/>
      <c r="S23" s="367"/>
      <c r="T23" s="368"/>
      <c r="U23" s="359"/>
      <c r="V23" s="348"/>
      <c r="Z23" s="9"/>
    </row>
    <row r="24" spans="1:26" ht="12.75" customHeight="1" x14ac:dyDescent="0.2">
      <c r="A24" s="380"/>
      <c r="B24" s="377"/>
      <c r="C24" s="316"/>
      <c r="D24" s="350"/>
      <c r="E24" s="350"/>
      <c r="F24" s="337"/>
      <c r="G24" s="337"/>
      <c r="H24" s="361" t="s">
        <v>29</v>
      </c>
      <c r="I24" s="19" t="s">
        <v>47</v>
      </c>
      <c r="J24" s="36">
        <v>766.19</v>
      </c>
      <c r="K24" s="337"/>
      <c r="L24" s="337"/>
      <c r="M24" s="10">
        <f>PODLAGE!$D$9</f>
        <v>112.99999999999999</v>
      </c>
      <c r="N24" s="36">
        <f t="shared" si="2"/>
        <v>86579.47</v>
      </c>
      <c r="O24" s="337"/>
      <c r="P24" s="367"/>
      <c r="Q24" s="367"/>
      <c r="R24" s="367"/>
      <c r="S24" s="367"/>
      <c r="T24" s="368"/>
      <c r="U24" s="359"/>
      <c r="V24" s="348"/>
    </row>
    <row r="25" spans="1:26" ht="12.75" customHeight="1" x14ac:dyDescent="0.2">
      <c r="A25" s="380"/>
      <c r="B25" s="377"/>
      <c r="C25" s="316"/>
      <c r="D25" s="350"/>
      <c r="E25" s="350"/>
      <c r="F25" s="337"/>
      <c r="G25" s="337"/>
      <c r="H25" s="361"/>
      <c r="I25" s="19" t="s">
        <v>48</v>
      </c>
      <c r="J25" s="36">
        <v>36.74</v>
      </c>
      <c r="K25" s="337"/>
      <c r="L25" s="337"/>
      <c r="M25" s="10">
        <f>PODLAGE!$D$10</f>
        <v>197.74999999999997</v>
      </c>
      <c r="N25" s="36">
        <f t="shared" si="2"/>
        <v>7265.3349999999991</v>
      </c>
      <c r="O25" s="337"/>
      <c r="P25" s="367"/>
      <c r="Q25" s="367"/>
      <c r="R25" s="367"/>
      <c r="S25" s="367"/>
      <c r="T25" s="368"/>
      <c r="U25" s="359"/>
      <c r="V25" s="348"/>
    </row>
    <row r="26" spans="1:26" ht="12.75" customHeight="1" x14ac:dyDescent="0.2">
      <c r="A26" s="380"/>
      <c r="B26" s="377"/>
      <c r="C26" s="316"/>
      <c r="D26" s="350"/>
      <c r="E26" s="350"/>
      <c r="F26" s="337"/>
      <c r="G26" s="337"/>
      <c r="H26" s="361"/>
      <c r="I26" s="19" t="s">
        <v>49</v>
      </c>
      <c r="J26" s="36">
        <v>17.91</v>
      </c>
      <c r="K26" s="337"/>
      <c r="L26" s="337"/>
      <c r="M26" s="10">
        <f>PODLAGE!$D$11</f>
        <v>282.5</v>
      </c>
      <c r="N26" s="36">
        <f t="shared" si="2"/>
        <v>5059.5749999999998</v>
      </c>
      <c r="O26" s="337"/>
      <c r="P26" s="367"/>
      <c r="Q26" s="367"/>
      <c r="R26" s="367"/>
      <c r="S26" s="367"/>
      <c r="T26" s="368"/>
      <c r="U26" s="359"/>
      <c r="V26" s="348"/>
    </row>
    <row r="27" spans="1:26" ht="12.75" customHeight="1" x14ac:dyDescent="0.2">
      <c r="A27" s="380"/>
      <c r="B27" s="377"/>
      <c r="C27" s="316"/>
      <c r="D27" s="350"/>
      <c r="E27" s="350"/>
      <c r="F27" s="337"/>
      <c r="G27" s="337"/>
      <c r="H27" s="361" t="s">
        <v>114</v>
      </c>
      <c r="I27" s="19" t="s">
        <v>115</v>
      </c>
      <c r="J27" s="36">
        <v>0</v>
      </c>
      <c r="K27" s="337"/>
      <c r="L27" s="337"/>
      <c r="M27" s="10">
        <f>PODLAGE!$D$15</f>
        <v>225.99999999999997</v>
      </c>
      <c r="N27" s="36">
        <f t="shared" si="2"/>
        <v>0</v>
      </c>
      <c r="O27" s="337"/>
      <c r="P27" s="367"/>
      <c r="Q27" s="367"/>
      <c r="R27" s="367"/>
      <c r="S27" s="367"/>
      <c r="T27" s="368"/>
      <c r="U27" s="359"/>
      <c r="V27" s="348"/>
    </row>
    <row r="28" spans="1:26" ht="12.75" customHeight="1" thickBot="1" x14ac:dyDescent="0.25">
      <c r="A28" s="380"/>
      <c r="B28" s="378"/>
      <c r="C28" s="316"/>
      <c r="D28" s="350"/>
      <c r="E28" s="350"/>
      <c r="F28" s="337"/>
      <c r="G28" s="337"/>
      <c r="H28" s="361"/>
      <c r="I28" s="19" t="s">
        <v>116</v>
      </c>
      <c r="J28" s="36">
        <v>124.83000000000001</v>
      </c>
      <c r="K28" s="337"/>
      <c r="L28" s="337"/>
      <c r="M28" s="10">
        <f>PODLAGE!$D$16</f>
        <v>338.99999999999994</v>
      </c>
      <c r="N28" s="36">
        <f t="shared" si="2"/>
        <v>42317.369999999995</v>
      </c>
      <c r="O28" s="337"/>
      <c r="P28" s="367"/>
      <c r="Q28" s="367"/>
      <c r="R28" s="367"/>
      <c r="S28" s="367"/>
      <c r="T28" s="368"/>
      <c r="U28" s="359"/>
      <c r="V28" s="349"/>
    </row>
    <row r="29" spans="1:26" ht="89.25" customHeight="1" x14ac:dyDescent="0.2">
      <c r="A29" s="380"/>
      <c r="B29" s="377">
        <v>2</v>
      </c>
      <c r="C29" s="323" t="s">
        <v>0</v>
      </c>
      <c r="D29" s="321" t="s">
        <v>1</v>
      </c>
      <c r="E29" s="321" t="s">
        <v>38</v>
      </c>
      <c r="F29" s="107" t="s">
        <v>2</v>
      </c>
      <c r="G29" s="107" t="s">
        <v>44</v>
      </c>
      <c r="H29" s="321" t="s">
        <v>45</v>
      </c>
      <c r="I29" s="321" t="s">
        <v>46</v>
      </c>
      <c r="J29" s="107" t="s">
        <v>4</v>
      </c>
      <c r="K29" s="107" t="s">
        <v>40</v>
      </c>
      <c r="L29" s="107" t="s">
        <v>6</v>
      </c>
      <c r="M29" s="107" t="s">
        <v>42</v>
      </c>
      <c r="N29" s="107" t="s">
        <v>43</v>
      </c>
      <c r="O29" s="107" t="s">
        <v>36</v>
      </c>
      <c r="P29" s="107" t="s">
        <v>9</v>
      </c>
      <c r="Q29" s="107" t="s">
        <v>28</v>
      </c>
      <c r="R29" s="107" t="s">
        <v>33</v>
      </c>
      <c r="S29" s="107" t="s">
        <v>34</v>
      </c>
      <c r="T29" s="34" t="s">
        <v>73</v>
      </c>
      <c r="U29" s="358" t="s">
        <v>270</v>
      </c>
      <c r="V29" s="348">
        <f>SUM(Q31,Q41)</f>
        <v>3786521.9750000001</v>
      </c>
      <c r="W29" s="362" t="s">
        <v>241</v>
      </c>
    </row>
    <row r="30" spans="1:26" ht="12.75" customHeight="1" x14ac:dyDescent="0.2">
      <c r="A30" s="380"/>
      <c r="B30" s="377"/>
      <c r="C30" s="383"/>
      <c r="D30" s="382"/>
      <c r="E30" s="382"/>
      <c r="F30" s="122" t="s">
        <v>39</v>
      </c>
      <c r="G30" s="122" t="s">
        <v>41</v>
      </c>
      <c r="H30" s="382"/>
      <c r="I30" s="382"/>
      <c r="J30" s="122" t="s">
        <v>5</v>
      </c>
      <c r="K30" s="122" t="s">
        <v>5</v>
      </c>
      <c r="L30" s="122" t="s">
        <v>7</v>
      </c>
      <c r="M30" s="122" t="s">
        <v>8</v>
      </c>
      <c r="N30" s="122" t="s">
        <v>7</v>
      </c>
      <c r="O30" s="122" t="s">
        <v>7</v>
      </c>
      <c r="P30" s="122" t="s">
        <v>7</v>
      </c>
      <c r="Q30" s="122" t="s">
        <v>7</v>
      </c>
      <c r="R30" s="122" t="s">
        <v>7</v>
      </c>
      <c r="S30" s="122" t="s">
        <v>7</v>
      </c>
      <c r="T30" s="33" t="s">
        <v>74</v>
      </c>
      <c r="U30" s="359"/>
      <c r="V30" s="348"/>
      <c r="W30" s="363"/>
    </row>
    <row r="31" spans="1:26" ht="12.75" customHeight="1" x14ac:dyDescent="0.2">
      <c r="A31" s="380"/>
      <c r="B31" s="377"/>
      <c r="C31" s="316" t="s">
        <v>266</v>
      </c>
      <c r="D31" s="350">
        <v>880</v>
      </c>
      <c r="E31" s="350">
        <v>237</v>
      </c>
      <c r="F31" s="337" t="s">
        <v>267</v>
      </c>
      <c r="G31" s="337" t="s">
        <v>268</v>
      </c>
      <c r="H31" s="361" t="s">
        <v>30</v>
      </c>
      <c r="I31" s="19" t="s">
        <v>47</v>
      </c>
      <c r="J31" s="36">
        <v>2357.6700000000005</v>
      </c>
      <c r="K31" s="337" t="s">
        <v>104</v>
      </c>
      <c r="L31" s="337">
        <f>PODLAGE!$D$30+PODLAGE!$D$29+PODLAGE!$D$26</f>
        <v>633930</v>
      </c>
      <c r="M31" s="10">
        <f>PODLAGE!$D$6</f>
        <v>176</v>
      </c>
      <c r="N31" s="36">
        <f>J31*M31</f>
        <v>414949.9200000001</v>
      </c>
      <c r="O31" s="337">
        <f>(PODLAGE!D17*3)</f>
        <v>3390</v>
      </c>
      <c r="P31" s="367">
        <f>SUM(N31:N38)*1.1+O31+L31</f>
        <v>3744937.9750000001</v>
      </c>
      <c r="Q31" s="367">
        <f>SUM(P31)</f>
        <v>3744937.9750000001</v>
      </c>
      <c r="R31" s="367">
        <f>((D31*PODLAGE!$I$9*PODLAGE!$I$22)+(E31*PODLAGE!$J$22*12))*20</f>
        <v>1178514.2159999998</v>
      </c>
      <c r="S31" s="367">
        <f>SUM(Q31:R38)</f>
        <v>4923452.1909999996</v>
      </c>
      <c r="T31" s="368">
        <f>S31/D31</f>
        <v>5594.8320352272722</v>
      </c>
      <c r="U31" s="359"/>
      <c r="V31" s="348"/>
      <c r="W31" s="363"/>
    </row>
    <row r="32" spans="1:26" ht="12.75" customHeight="1" x14ac:dyDescent="0.2">
      <c r="A32" s="380"/>
      <c r="B32" s="377"/>
      <c r="C32" s="316"/>
      <c r="D32" s="350"/>
      <c r="E32" s="350"/>
      <c r="F32" s="337"/>
      <c r="G32" s="337"/>
      <c r="H32" s="361"/>
      <c r="I32" s="19" t="s">
        <v>48</v>
      </c>
      <c r="J32" s="36">
        <v>1323.7900000000002</v>
      </c>
      <c r="K32" s="337"/>
      <c r="L32" s="337"/>
      <c r="M32" s="10">
        <f>PODLAGE!$D$7</f>
        <v>308</v>
      </c>
      <c r="N32" s="36">
        <f t="shared" ref="N32:N38" si="3">J32*M32</f>
        <v>407727.32000000007</v>
      </c>
      <c r="O32" s="337"/>
      <c r="P32" s="367"/>
      <c r="Q32" s="367"/>
      <c r="R32" s="367"/>
      <c r="S32" s="367"/>
      <c r="T32" s="368"/>
      <c r="U32" s="359"/>
      <c r="V32" s="348"/>
      <c r="W32" s="363"/>
    </row>
    <row r="33" spans="1:23" ht="12.75" customHeight="1" x14ac:dyDescent="0.2">
      <c r="A33" s="380"/>
      <c r="B33" s="377"/>
      <c r="C33" s="316"/>
      <c r="D33" s="350"/>
      <c r="E33" s="350"/>
      <c r="F33" s="337"/>
      <c r="G33" s="337"/>
      <c r="H33" s="361"/>
      <c r="I33" s="19" t="s">
        <v>49</v>
      </c>
      <c r="J33" s="36">
        <v>4498.4399999999996</v>
      </c>
      <c r="K33" s="337"/>
      <c r="L33" s="337"/>
      <c r="M33" s="10">
        <f>PODLAGE!$D$8</f>
        <v>440</v>
      </c>
      <c r="N33" s="36">
        <f t="shared" si="3"/>
        <v>1979313.5999999999</v>
      </c>
      <c r="O33" s="337"/>
      <c r="P33" s="367"/>
      <c r="Q33" s="367"/>
      <c r="R33" s="367"/>
      <c r="S33" s="367"/>
      <c r="T33" s="368"/>
      <c r="U33" s="359"/>
      <c r="V33" s="348"/>
      <c r="W33" s="363"/>
    </row>
    <row r="34" spans="1:23" ht="12.75" customHeight="1" x14ac:dyDescent="0.2">
      <c r="A34" s="380"/>
      <c r="B34" s="377"/>
      <c r="C34" s="316"/>
      <c r="D34" s="350"/>
      <c r="E34" s="350"/>
      <c r="F34" s="337"/>
      <c r="G34" s="337"/>
      <c r="H34" s="361" t="s">
        <v>29</v>
      </c>
      <c r="I34" s="19" t="s">
        <v>47</v>
      </c>
      <c r="J34" s="36">
        <v>0</v>
      </c>
      <c r="K34" s="337"/>
      <c r="L34" s="337"/>
      <c r="M34" s="10">
        <f>PODLAGE!$D$9</f>
        <v>112.99999999999999</v>
      </c>
      <c r="N34" s="36">
        <f t="shared" si="3"/>
        <v>0</v>
      </c>
      <c r="O34" s="337"/>
      <c r="P34" s="367"/>
      <c r="Q34" s="367"/>
      <c r="R34" s="367"/>
      <c r="S34" s="367"/>
      <c r="T34" s="368"/>
      <c r="U34" s="359"/>
      <c r="V34" s="348"/>
      <c r="W34" s="363"/>
    </row>
    <row r="35" spans="1:23" ht="12.75" customHeight="1" x14ac:dyDescent="0.2">
      <c r="A35" s="380"/>
      <c r="B35" s="377"/>
      <c r="C35" s="316"/>
      <c r="D35" s="350"/>
      <c r="E35" s="350"/>
      <c r="F35" s="337"/>
      <c r="G35" s="337"/>
      <c r="H35" s="361"/>
      <c r="I35" s="19" t="s">
        <v>48</v>
      </c>
      <c r="J35" s="36">
        <v>0</v>
      </c>
      <c r="K35" s="337"/>
      <c r="L35" s="337"/>
      <c r="M35" s="10">
        <f>PODLAGE!$D$10</f>
        <v>197.74999999999997</v>
      </c>
      <c r="N35" s="36">
        <f t="shared" si="3"/>
        <v>0</v>
      </c>
      <c r="O35" s="337"/>
      <c r="P35" s="367"/>
      <c r="Q35" s="367"/>
      <c r="R35" s="367"/>
      <c r="S35" s="367"/>
      <c r="T35" s="368"/>
      <c r="U35" s="359"/>
      <c r="V35" s="348"/>
      <c r="W35" s="363"/>
    </row>
    <row r="36" spans="1:23" ht="12.75" customHeight="1" x14ac:dyDescent="0.2">
      <c r="A36" s="380"/>
      <c r="B36" s="377"/>
      <c r="C36" s="316"/>
      <c r="D36" s="350"/>
      <c r="E36" s="350"/>
      <c r="F36" s="337"/>
      <c r="G36" s="337"/>
      <c r="H36" s="361"/>
      <c r="I36" s="19" t="s">
        <v>49</v>
      </c>
      <c r="J36" s="36">
        <v>0</v>
      </c>
      <c r="K36" s="337"/>
      <c r="L36" s="337"/>
      <c r="M36" s="10">
        <f>PODLAGE!$D$11</f>
        <v>282.5</v>
      </c>
      <c r="N36" s="36">
        <f t="shared" si="3"/>
        <v>0</v>
      </c>
      <c r="O36" s="337"/>
      <c r="P36" s="367"/>
      <c r="Q36" s="367"/>
      <c r="R36" s="367"/>
      <c r="S36" s="367"/>
      <c r="T36" s="368"/>
      <c r="U36" s="359"/>
      <c r="V36" s="348"/>
      <c r="W36" s="363"/>
    </row>
    <row r="37" spans="1:23" ht="12.75" customHeight="1" x14ac:dyDescent="0.2">
      <c r="A37" s="380"/>
      <c r="B37" s="377"/>
      <c r="C37" s="316"/>
      <c r="D37" s="350"/>
      <c r="E37" s="350"/>
      <c r="F37" s="337"/>
      <c r="G37" s="337"/>
      <c r="H37" s="361" t="s">
        <v>114</v>
      </c>
      <c r="I37" s="19" t="s">
        <v>115</v>
      </c>
      <c r="J37" s="36">
        <v>0</v>
      </c>
      <c r="K37" s="337"/>
      <c r="L37" s="337"/>
      <c r="M37" s="10">
        <f>PODLAGE!$D$15</f>
        <v>225.99999999999997</v>
      </c>
      <c r="N37" s="36">
        <f t="shared" si="3"/>
        <v>0</v>
      </c>
      <c r="O37" s="337"/>
      <c r="P37" s="367"/>
      <c r="Q37" s="367"/>
      <c r="R37" s="367"/>
      <c r="S37" s="367"/>
      <c r="T37" s="368"/>
      <c r="U37" s="359"/>
      <c r="V37" s="348"/>
      <c r="W37" s="363"/>
    </row>
    <row r="38" spans="1:23" ht="12.75" customHeight="1" x14ac:dyDescent="0.2">
      <c r="A38" s="380"/>
      <c r="B38" s="377"/>
      <c r="C38" s="316"/>
      <c r="D38" s="350"/>
      <c r="E38" s="350"/>
      <c r="F38" s="337"/>
      <c r="G38" s="337"/>
      <c r="H38" s="361"/>
      <c r="I38" s="19" t="s">
        <v>116</v>
      </c>
      <c r="J38" s="36">
        <v>68.19</v>
      </c>
      <c r="K38" s="337"/>
      <c r="L38" s="337"/>
      <c r="M38" s="10">
        <f>PODLAGE!$D$16</f>
        <v>338.99999999999994</v>
      </c>
      <c r="N38" s="36">
        <f t="shared" si="3"/>
        <v>23116.409999999996</v>
      </c>
      <c r="O38" s="337"/>
      <c r="P38" s="367"/>
      <c r="Q38" s="367"/>
      <c r="R38" s="367"/>
      <c r="S38" s="367"/>
      <c r="T38" s="368"/>
      <c r="U38" s="359"/>
      <c r="V38" s="348"/>
      <c r="W38" s="363"/>
    </row>
    <row r="39" spans="1:23" ht="89.25" customHeight="1" x14ac:dyDescent="0.2">
      <c r="A39" s="380"/>
      <c r="B39" s="377"/>
      <c r="C39" s="383" t="s">
        <v>20</v>
      </c>
      <c r="D39" s="384" t="s">
        <v>31</v>
      </c>
      <c r="E39" s="382" t="s">
        <v>1</v>
      </c>
      <c r="F39" s="112" t="s">
        <v>10</v>
      </c>
      <c r="G39" s="112" t="s">
        <v>12</v>
      </c>
      <c r="H39" s="382" t="s">
        <v>14</v>
      </c>
      <c r="I39" s="382" t="s">
        <v>14</v>
      </c>
      <c r="J39" s="382" t="s">
        <v>14</v>
      </c>
      <c r="K39" s="382" t="s">
        <v>14</v>
      </c>
      <c r="L39" s="382" t="s">
        <v>14</v>
      </c>
      <c r="M39" s="382" t="s">
        <v>14</v>
      </c>
      <c r="N39" s="382" t="s">
        <v>14</v>
      </c>
      <c r="O39" s="112" t="s">
        <v>36</v>
      </c>
      <c r="P39" s="112" t="s">
        <v>15</v>
      </c>
      <c r="Q39" s="112" t="s">
        <v>28</v>
      </c>
      <c r="R39" s="112" t="s">
        <v>33</v>
      </c>
      <c r="S39" s="112" t="s">
        <v>34</v>
      </c>
      <c r="T39" s="80" t="s">
        <v>73</v>
      </c>
      <c r="U39" s="359"/>
      <c r="V39" s="348"/>
      <c r="W39" s="363"/>
    </row>
    <row r="40" spans="1:23" ht="12.75" customHeight="1" x14ac:dyDescent="0.2">
      <c r="A40" s="380"/>
      <c r="B40" s="377"/>
      <c r="C40" s="345"/>
      <c r="D40" s="385"/>
      <c r="E40" s="346"/>
      <c r="F40" s="122" t="s">
        <v>11</v>
      </c>
      <c r="G40" s="122" t="s">
        <v>13</v>
      </c>
      <c r="H40" s="346"/>
      <c r="I40" s="346"/>
      <c r="J40" s="346"/>
      <c r="K40" s="346"/>
      <c r="L40" s="346"/>
      <c r="M40" s="346"/>
      <c r="N40" s="346"/>
      <c r="O40" s="122" t="s">
        <v>7</v>
      </c>
      <c r="P40" s="122" t="s">
        <v>7</v>
      </c>
      <c r="Q40" s="122" t="s">
        <v>7</v>
      </c>
      <c r="R40" s="122" t="s">
        <v>7</v>
      </c>
      <c r="S40" s="122" t="s">
        <v>7</v>
      </c>
      <c r="T40" s="33" t="s">
        <v>74</v>
      </c>
      <c r="U40" s="359"/>
      <c r="V40" s="348"/>
      <c r="W40" s="363"/>
    </row>
    <row r="41" spans="1:23" ht="12.75" customHeight="1" x14ac:dyDescent="0.2">
      <c r="A41" s="380"/>
      <c r="B41" s="377"/>
      <c r="C41" s="386" t="s">
        <v>226</v>
      </c>
      <c r="D41" s="4" t="s">
        <v>16</v>
      </c>
      <c r="E41" s="7">
        <v>19</v>
      </c>
      <c r="F41" s="7">
        <v>6</v>
      </c>
      <c r="G41" s="5">
        <f>PODLAGE!$E$37</f>
        <v>4294</v>
      </c>
      <c r="H41" s="113" t="s">
        <v>14</v>
      </c>
      <c r="I41" s="113" t="s">
        <v>14</v>
      </c>
      <c r="J41" s="113" t="s">
        <v>14</v>
      </c>
      <c r="K41" s="113" t="s">
        <v>14</v>
      </c>
      <c r="L41" s="113" t="s">
        <v>14</v>
      </c>
      <c r="M41" s="113" t="s">
        <v>14</v>
      </c>
      <c r="N41" s="113" t="s">
        <v>14</v>
      </c>
      <c r="O41" s="352">
        <v>0</v>
      </c>
      <c r="P41" s="77">
        <f>F41*G41</f>
        <v>25764</v>
      </c>
      <c r="Q41" s="354">
        <f>SUM(O41:P42)</f>
        <v>41584</v>
      </c>
      <c r="R41" s="10">
        <f>F41*PODLAGE!$K$25</f>
        <v>55680.75</v>
      </c>
      <c r="S41" s="354">
        <f>SUM(Q41:R42)</f>
        <v>126961.15</v>
      </c>
      <c r="T41" s="356">
        <f>S41/(E41+E42)</f>
        <v>3734.151470588235</v>
      </c>
      <c r="U41" s="359"/>
      <c r="V41" s="348"/>
      <c r="W41" s="363"/>
    </row>
    <row r="42" spans="1:23" ht="13.5" customHeight="1" thickBot="1" x14ac:dyDescent="0.25">
      <c r="A42" s="380"/>
      <c r="B42" s="378"/>
      <c r="C42" s="402"/>
      <c r="D42" s="4" t="s">
        <v>17</v>
      </c>
      <c r="E42" s="7">
        <v>15</v>
      </c>
      <c r="F42" s="7">
        <v>2</v>
      </c>
      <c r="G42" s="5">
        <f>PODLAGE!$E$38</f>
        <v>7909.9999999999991</v>
      </c>
      <c r="H42" s="113" t="s">
        <v>14</v>
      </c>
      <c r="I42" s="113" t="s">
        <v>14</v>
      </c>
      <c r="J42" s="113" t="s">
        <v>14</v>
      </c>
      <c r="K42" s="113" t="s">
        <v>14</v>
      </c>
      <c r="L42" s="113" t="s">
        <v>14</v>
      </c>
      <c r="M42" s="113" t="s">
        <v>14</v>
      </c>
      <c r="N42" s="113" t="s">
        <v>14</v>
      </c>
      <c r="O42" s="353"/>
      <c r="P42" s="77">
        <f t="shared" ref="P42" si="4">F42*G42</f>
        <v>15819.999999999998</v>
      </c>
      <c r="Q42" s="355"/>
      <c r="R42" s="10">
        <f>F42*PODLAGE!$K$26</f>
        <v>29696.399999999994</v>
      </c>
      <c r="S42" s="355"/>
      <c r="T42" s="357"/>
      <c r="U42" s="360"/>
      <c r="V42" s="349"/>
      <c r="W42" s="364"/>
    </row>
    <row r="43" spans="1:23" ht="89.25" customHeight="1" x14ac:dyDescent="0.2">
      <c r="A43" s="380"/>
      <c r="B43" s="376">
        <v>3</v>
      </c>
      <c r="C43" s="383" t="s">
        <v>20</v>
      </c>
      <c r="D43" s="384" t="s">
        <v>31</v>
      </c>
      <c r="E43" s="382" t="s">
        <v>1</v>
      </c>
      <c r="F43" s="112" t="s">
        <v>10</v>
      </c>
      <c r="G43" s="112" t="s">
        <v>12</v>
      </c>
      <c r="H43" s="382" t="s">
        <v>14</v>
      </c>
      <c r="I43" s="382" t="s">
        <v>14</v>
      </c>
      <c r="J43" s="382" t="s">
        <v>14</v>
      </c>
      <c r="K43" s="382" t="s">
        <v>14</v>
      </c>
      <c r="L43" s="382" t="s">
        <v>14</v>
      </c>
      <c r="M43" s="382" t="s">
        <v>14</v>
      </c>
      <c r="N43" s="382" t="s">
        <v>14</v>
      </c>
      <c r="O43" s="112" t="s">
        <v>36</v>
      </c>
      <c r="P43" s="112" t="s">
        <v>15</v>
      </c>
      <c r="Q43" s="112" t="s">
        <v>28</v>
      </c>
      <c r="R43" s="112" t="s">
        <v>33</v>
      </c>
      <c r="S43" s="112" t="s">
        <v>34</v>
      </c>
      <c r="T43" s="80" t="s">
        <v>73</v>
      </c>
      <c r="U43" s="358" t="s">
        <v>271</v>
      </c>
      <c r="V43" s="347">
        <f>Q45</f>
        <v>1230570</v>
      </c>
    </row>
    <row r="44" spans="1:23" ht="12.75" customHeight="1" x14ac:dyDescent="0.2">
      <c r="A44" s="380"/>
      <c r="B44" s="377"/>
      <c r="C44" s="345"/>
      <c r="D44" s="385"/>
      <c r="E44" s="346"/>
      <c r="F44" s="122" t="s">
        <v>11</v>
      </c>
      <c r="G44" s="122" t="s">
        <v>13</v>
      </c>
      <c r="H44" s="346"/>
      <c r="I44" s="346"/>
      <c r="J44" s="346"/>
      <c r="K44" s="346"/>
      <c r="L44" s="346"/>
      <c r="M44" s="346"/>
      <c r="N44" s="346"/>
      <c r="O44" s="122" t="s">
        <v>7</v>
      </c>
      <c r="P44" s="122" t="s">
        <v>7</v>
      </c>
      <c r="Q44" s="122" t="s">
        <v>7</v>
      </c>
      <c r="R44" s="122" t="s">
        <v>7</v>
      </c>
      <c r="S44" s="122" t="s">
        <v>7</v>
      </c>
      <c r="T44" s="33" t="s">
        <v>74</v>
      </c>
      <c r="U44" s="359"/>
      <c r="V44" s="348"/>
    </row>
    <row r="45" spans="1:23" ht="12.75" customHeight="1" x14ac:dyDescent="0.2">
      <c r="A45" s="380"/>
      <c r="B45" s="377"/>
      <c r="C45" s="316" t="s">
        <v>226</v>
      </c>
      <c r="D45" s="4" t="s">
        <v>16</v>
      </c>
      <c r="E45" s="7">
        <v>600</v>
      </c>
      <c r="F45" s="7">
        <v>205</v>
      </c>
      <c r="G45" s="5">
        <f>PODLAGE!$E$37</f>
        <v>4294</v>
      </c>
      <c r="H45" s="113" t="s">
        <v>14</v>
      </c>
      <c r="I45" s="113" t="s">
        <v>14</v>
      </c>
      <c r="J45" s="113" t="s">
        <v>14</v>
      </c>
      <c r="K45" s="113" t="s">
        <v>14</v>
      </c>
      <c r="L45" s="113" t="s">
        <v>14</v>
      </c>
      <c r="M45" s="113" t="s">
        <v>14</v>
      </c>
      <c r="N45" s="113" t="s">
        <v>14</v>
      </c>
      <c r="O45" s="370">
        <v>0</v>
      </c>
      <c r="P45" s="77">
        <f>F45*G45</f>
        <v>880270</v>
      </c>
      <c r="Q45" s="367">
        <f>SUM(O45:P47)</f>
        <v>1230570</v>
      </c>
      <c r="R45" s="10">
        <f>F45*PODLAGE!$K$25</f>
        <v>1902425.625</v>
      </c>
      <c r="S45" s="372">
        <f>SUM(Q45:R47)</f>
        <v>3771468.2250000001</v>
      </c>
      <c r="T45" s="374">
        <f>S45/(E45+E46+E47)</f>
        <v>4126.3328501094093</v>
      </c>
      <c r="U45" s="359"/>
      <c r="V45" s="348"/>
    </row>
    <row r="46" spans="1:23" ht="12.75" customHeight="1" x14ac:dyDescent="0.2">
      <c r="A46" s="380"/>
      <c r="B46" s="377"/>
      <c r="C46" s="386"/>
      <c r="D46" s="119" t="s">
        <v>17</v>
      </c>
      <c r="E46" s="120">
        <v>253</v>
      </c>
      <c r="F46" s="7">
        <v>35</v>
      </c>
      <c r="G46" s="5">
        <f>PODLAGE!$E$38</f>
        <v>7909.9999999999991</v>
      </c>
      <c r="H46" s="113" t="s">
        <v>14</v>
      </c>
      <c r="I46" s="113" t="s">
        <v>14</v>
      </c>
      <c r="J46" s="113" t="s">
        <v>14</v>
      </c>
      <c r="K46" s="113" t="s">
        <v>14</v>
      </c>
      <c r="L46" s="113" t="s">
        <v>14</v>
      </c>
      <c r="M46" s="113" t="s">
        <v>14</v>
      </c>
      <c r="N46" s="113" t="s">
        <v>14</v>
      </c>
      <c r="O46" s="371"/>
      <c r="P46" s="77">
        <f t="shared" ref="P46:P47" si="5">F46*G46</f>
        <v>276849.99999999994</v>
      </c>
      <c r="Q46" s="354"/>
      <c r="R46" s="10">
        <f>F46*PODLAGE!$K$26</f>
        <v>519686.99999999988</v>
      </c>
      <c r="S46" s="373"/>
      <c r="T46" s="375"/>
      <c r="U46" s="359"/>
      <c r="V46" s="348"/>
    </row>
    <row r="47" spans="1:23" ht="13.5" customHeight="1" thickBot="1" x14ac:dyDescent="0.25">
      <c r="A47" s="381"/>
      <c r="B47" s="378"/>
      <c r="C47" s="386"/>
      <c r="D47" s="119" t="s">
        <v>18</v>
      </c>
      <c r="E47" s="120">
        <v>61</v>
      </c>
      <c r="F47" s="7">
        <v>5</v>
      </c>
      <c r="G47" s="5">
        <f>PODLAGE!$E$39</f>
        <v>14689.999999999998</v>
      </c>
      <c r="H47" s="113" t="s">
        <v>14</v>
      </c>
      <c r="I47" s="113" t="s">
        <v>14</v>
      </c>
      <c r="J47" s="113" t="s">
        <v>14</v>
      </c>
      <c r="K47" s="113" t="s">
        <v>14</v>
      </c>
      <c r="L47" s="113" t="s">
        <v>14</v>
      </c>
      <c r="M47" s="113" t="s">
        <v>14</v>
      </c>
      <c r="N47" s="113" t="s">
        <v>14</v>
      </c>
      <c r="O47" s="371"/>
      <c r="P47" s="77">
        <f t="shared" si="5"/>
        <v>73449.999999999985</v>
      </c>
      <c r="Q47" s="354"/>
      <c r="R47" s="10">
        <f>F47*PODLAGE!$K$27</f>
        <v>118785.59999999998</v>
      </c>
      <c r="S47" s="373"/>
      <c r="T47" s="375"/>
      <c r="U47" s="360"/>
      <c r="V47" s="349"/>
    </row>
    <row r="48" spans="1:23" ht="89.25" customHeight="1" x14ac:dyDescent="0.2">
      <c r="A48" s="379" t="s">
        <v>307</v>
      </c>
      <c r="B48" s="376">
        <v>1</v>
      </c>
      <c r="C48" s="344" t="s">
        <v>0</v>
      </c>
      <c r="D48" s="331" t="s">
        <v>1</v>
      </c>
      <c r="E48" s="331" t="s">
        <v>38</v>
      </c>
      <c r="F48" s="107" t="s">
        <v>2</v>
      </c>
      <c r="G48" s="107" t="s">
        <v>44</v>
      </c>
      <c r="H48" s="331" t="s">
        <v>45</v>
      </c>
      <c r="I48" s="331" t="s">
        <v>46</v>
      </c>
      <c r="J48" s="107" t="s">
        <v>4</v>
      </c>
      <c r="K48" s="107" t="s">
        <v>40</v>
      </c>
      <c r="L48" s="107" t="s">
        <v>6</v>
      </c>
      <c r="M48" s="107" t="s">
        <v>42</v>
      </c>
      <c r="N48" s="107" t="s">
        <v>43</v>
      </c>
      <c r="O48" s="107" t="s">
        <v>36</v>
      </c>
      <c r="P48" s="107" t="s">
        <v>9</v>
      </c>
      <c r="Q48" s="107" t="s">
        <v>28</v>
      </c>
      <c r="R48" s="107" t="s">
        <v>33</v>
      </c>
      <c r="S48" s="107" t="s">
        <v>34</v>
      </c>
      <c r="T48" s="34" t="s">
        <v>73</v>
      </c>
      <c r="U48" s="358" t="s">
        <v>245</v>
      </c>
      <c r="V48" s="347">
        <f>Q50</f>
        <v>9286578.4137500003</v>
      </c>
    </row>
    <row r="49" spans="1:26" ht="12.75" customHeight="1" x14ac:dyDescent="0.2">
      <c r="A49" s="380"/>
      <c r="B49" s="377"/>
      <c r="C49" s="345"/>
      <c r="D49" s="346"/>
      <c r="E49" s="346"/>
      <c r="F49" s="122" t="s">
        <v>39</v>
      </c>
      <c r="G49" s="122" t="s">
        <v>41</v>
      </c>
      <c r="H49" s="346"/>
      <c r="I49" s="346"/>
      <c r="J49" s="122" t="s">
        <v>5</v>
      </c>
      <c r="K49" s="122" t="s">
        <v>5</v>
      </c>
      <c r="L49" s="122" t="s">
        <v>7</v>
      </c>
      <c r="M49" s="122" t="s">
        <v>8</v>
      </c>
      <c r="N49" s="122" t="s">
        <v>7</v>
      </c>
      <c r="O49" s="122" t="s">
        <v>7</v>
      </c>
      <c r="P49" s="122" t="s">
        <v>7</v>
      </c>
      <c r="Q49" s="122" t="s">
        <v>7</v>
      </c>
      <c r="R49" s="122" t="s">
        <v>7</v>
      </c>
      <c r="S49" s="122" t="s">
        <v>7</v>
      </c>
      <c r="T49" s="33" t="s">
        <v>74</v>
      </c>
      <c r="U49" s="359"/>
      <c r="V49" s="348"/>
    </row>
    <row r="50" spans="1:26" ht="12.75" customHeight="1" x14ac:dyDescent="0.2">
      <c r="A50" s="380"/>
      <c r="B50" s="377"/>
      <c r="C50" s="316" t="s">
        <v>306</v>
      </c>
      <c r="D50" s="350">
        <v>1845</v>
      </c>
      <c r="E50" s="350">
        <v>448</v>
      </c>
      <c r="F50" s="337" t="s">
        <v>207</v>
      </c>
      <c r="G50" s="337" t="s">
        <v>232</v>
      </c>
      <c r="H50" s="361" t="s">
        <v>30</v>
      </c>
      <c r="I50" s="19" t="s">
        <v>47</v>
      </c>
      <c r="J50" s="36">
        <v>1516.75</v>
      </c>
      <c r="K50" s="337" t="s">
        <v>104</v>
      </c>
      <c r="L50" s="337">
        <f>PODLAGE!D33</f>
        <v>2500000</v>
      </c>
      <c r="M50" s="10">
        <f>PODLAGE!$D$6</f>
        <v>176</v>
      </c>
      <c r="N50" s="36">
        <f>J50*M50</f>
        <v>266948</v>
      </c>
      <c r="O50" s="337">
        <f>((PODLAGE!$D$13)*5)+PODLAGE!D17</f>
        <v>707380</v>
      </c>
      <c r="P50" s="367">
        <f>SUM(N50:N57)*1.1+O50+L50</f>
        <v>9286578.4137500003</v>
      </c>
      <c r="Q50" s="367">
        <f>SUM(P50)</f>
        <v>9286578.4137500003</v>
      </c>
      <c r="R50" s="367">
        <f>((D50*PODLAGE!$I$9*PODLAGE!$I$22)+(E50*PODLAGE!$J$22*12))*20</f>
        <v>2449577.7239999999</v>
      </c>
      <c r="S50" s="367">
        <f>SUM(Q50:R57)</f>
        <v>11736156.13775</v>
      </c>
      <c r="T50" s="368">
        <f>S50/D50</f>
        <v>6361.0602372628728</v>
      </c>
      <c r="U50" s="359"/>
      <c r="V50" s="348"/>
    </row>
    <row r="51" spans="1:26" ht="12.75" customHeight="1" x14ac:dyDescent="0.2">
      <c r="A51" s="380"/>
      <c r="B51" s="377"/>
      <c r="C51" s="316"/>
      <c r="D51" s="350"/>
      <c r="E51" s="350"/>
      <c r="F51" s="337"/>
      <c r="G51" s="337"/>
      <c r="H51" s="361"/>
      <c r="I51" s="19" t="s">
        <v>48</v>
      </c>
      <c r="J51" s="36">
        <v>38.15</v>
      </c>
      <c r="K51" s="337"/>
      <c r="L51" s="337"/>
      <c r="M51" s="10">
        <f>PODLAGE!$D$7</f>
        <v>308</v>
      </c>
      <c r="N51" s="36">
        <f t="shared" ref="N51:N57" si="6">J51*M51</f>
        <v>11750.199999999999</v>
      </c>
      <c r="O51" s="337"/>
      <c r="P51" s="367"/>
      <c r="Q51" s="367"/>
      <c r="R51" s="367"/>
      <c r="S51" s="367"/>
      <c r="T51" s="368"/>
      <c r="U51" s="359"/>
      <c r="V51" s="348"/>
    </row>
    <row r="52" spans="1:26" ht="12.75" customHeight="1" x14ac:dyDescent="0.2">
      <c r="A52" s="380"/>
      <c r="B52" s="377"/>
      <c r="C52" s="316"/>
      <c r="D52" s="350"/>
      <c r="E52" s="350"/>
      <c r="F52" s="337"/>
      <c r="G52" s="337"/>
      <c r="H52" s="361"/>
      <c r="I52" s="19" t="s">
        <v>49</v>
      </c>
      <c r="J52" s="36">
        <v>11215.43</v>
      </c>
      <c r="K52" s="337"/>
      <c r="L52" s="337"/>
      <c r="M52" s="10">
        <f>PODLAGE!$D$8</f>
        <v>440</v>
      </c>
      <c r="N52" s="36">
        <f t="shared" si="6"/>
        <v>4934789.2</v>
      </c>
      <c r="O52" s="337"/>
      <c r="P52" s="367"/>
      <c r="Q52" s="367"/>
      <c r="R52" s="367"/>
      <c r="S52" s="367"/>
      <c r="T52" s="368"/>
      <c r="U52" s="359"/>
      <c r="V52" s="348"/>
      <c r="Z52" s="9"/>
    </row>
    <row r="53" spans="1:26" ht="12.75" customHeight="1" x14ac:dyDescent="0.2">
      <c r="A53" s="380"/>
      <c r="B53" s="377"/>
      <c r="C53" s="316"/>
      <c r="D53" s="350"/>
      <c r="E53" s="350"/>
      <c r="F53" s="337"/>
      <c r="G53" s="337"/>
      <c r="H53" s="361" t="s">
        <v>29</v>
      </c>
      <c r="I53" s="19" t="s">
        <v>47</v>
      </c>
      <c r="J53" s="36">
        <v>1281.3800000000001</v>
      </c>
      <c r="K53" s="337"/>
      <c r="L53" s="337"/>
      <c r="M53" s="10">
        <f>PODLAGE!$D$9</f>
        <v>112.99999999999999</v>
      </c>
      <c r="N53" s="36">
        <f t="shared" si="6"/>
        <v>144795.94</v>
      </c>
      <c r="O53" s="337"/>
      <c r="P53" s="367"/>
      <c r="Q53" s="367"/>
      <c r="R53" s="367"/>
      <c r="S53" s="367"/>
      <c r="T53" s="368"/>
      <c r="U53" s="359"/>
      <c r="V53" s="348"/>
    </row>
    <row r="54" spans="1:26" ht="12.75" customHeight="1" x14ac:dyDescent="0.2">
      <c r="A54" s="380"/>
      <c r="B54" s="377"/>
      <c r="C54" s="316"/>
      <c r="D54" s="350"/>
      <c r="E54" s="350"/>
      <c r="F54" s="337"/>
      <c r="G54" s="337"/>
      <c r="H54" s="361"/>
      <c r="I54" s="19" t="s">
        <v>48</v>
      </c>
      <c r="J54" s="36">
        <v>48.21</v>
      </c>
      <c r="K54" s="337"/>
      <c r="L54" s="337"/>
      <c r="M54" s="10">
        <f>PODLAGE!$D$10</f>
        <v>197.74999999999997</v>
      </c>
      <c r="N54" s="36">
        <f t="shared" si="6"/>
        <v>9533.5274999999983</v>
      </c>
      <c r="O54" s="337"/>
      <c r="P54" s="367"/>
      <c r="Q54" s="367"/>
      <c r="R54" s="367"/>
      <c r="S54" s="367"/>
      <c r="T54" s="368"/>
      <c r="U54" s="359"/>
      <c r="V54" s="348"/>
    </row>
    <row r="55" spans="1:26" ht="12.75" customHeight="1" x14ac:dyDescent="0.2">
      <c r="A55" s="380"/>
      <c r="B55" s="377"/>
      <c r="C55" s="316"/>
      <c r="D55" s="350"/>
      <c r="E55" s="350"/>
      <c r="F55" s="337"/>
      <c r="G55" s="337"/>
      <c r="H55" s="361"/>
      <c r="I55" s="19" t="s">
        <v>49</v>
      </c>
      <c r="J55" s="36">
        <v>377.99</v>
      </c>
      <c r="K55" s="337"/>
      <c r="L55" s="337"/>
      <c r="M55" s="10">
        <f>PODLAGE!$D$11</f>
        <v>282.5</v>
      </c>
      <c r="N55" s="36">
        <f t="shared" si="6"/>
        <v>106782.175</v>
      </c>
      <c r="O55" s="337"/>
      <c r="P55" s="367"/>
      <c r="Q55" s="367"/>
      <c r="R55" s="367"/>
      <c r="S55" s="367"/>
      <c r="T55" s="368"/>
      <c r="U55" s="359"/>
      <c r="V55" s="348"/>
    </row>
    <row r="56" spans="1:26" ht="12.75" customHeight="1" x14ac:dyDescent="0.2">
      <c r="A56" s="380"/>
      <c r="B56" s="377"/>
      <c r="C56" s="316"/>
      <c r="D56" s="350"/>
      <c r="E56" s="350"/>
      <c r="F56" s="337"/>
      <c r="G56" s="337"/>
      <c r="H56" s="361" t="s">
        <v>114</v>
      </c>
      <c r="I56" s="19" t="s">
        <v>115</v>
      </c>
      <c r="J56" s="36">
        <v>0</v>
      </c>
      <c r="K56" s="337"/>
      <c r="L56" s="337"/>
      <c r="M56" s="10">
        <f>PODLAGE!$D$15</f>
        <v>225.99999999999997</v>
      </c>
      <c r="N56" s="36">
        <f t="shared" si="6"/>
        <v>0</v>
      </c>
      <c r="O56" s="337"/>
      <c r="P56" s="367"/>
      <c r="Q56" s="367"/>
      <c r="R56" s="367"/>
      <c r="S56" s="367"/>
      <c r="T56" s="368"/>
      <c r="U56" s="359"/>
      <c r="V56" s="348"/>
    </row>
    <row r="57" spans="1:26" ht="12.75" customHeight="1" thickBot="1" x14ac:dyDescent="0.25">
      <c r="A57" s="380"/>
      <c r="B57" s="377"/>
      <c r="C57" s="316"/>
      <c r="D57" s="350"/>
      <c r="E57" s="350"/>
      <c r="F57" s="337"/>
      <c r="G57" s="337"/>
      <c r="H57" s="361"/>
      <c r="I57" s="19" t="s">
        <v>116</v>
      </c>
      <c r="J57" s="36">
        <v>153.22999999999999</v>
      </c>
      <c r="K57" s="337"/>
      <c r="L57" s="337"/>
      <c r="M57" s="10">
        <f>PODLAGE!$D$16</f>
        <v>338.99999999999994</v>
      </c>
      <c r="N57" s="36">
        <f t="shared" si="6"/>
        <v>51944.969999999987</v>
      </c>
      <c r="O57" s="337"/>
      <c r="P57" s="367"/>
      <c r="Q57" s="367"/>
      <c r="R57" s="367"/>
      <c r="S57" s="367"/>
      <c r="T57" s="368"/>
      <c r="U57" s="359"/>
      <c r="V57" s="348"/>
    </row>
    <row r="58" spans="1:26" ht="89.25" customHeight="1" x14ac:dyDescent="0.2">
      <c r="A58" s="380"/>
      <c r="B58" s="376">
        <v>2</v>
      </c>
      <c r="C58" s="323" t="s">
        <v>0</v>
      </c>
      <c r="D58" s="321" t="s">
        <v>1</v>
      </c>
      <c r="E58" s="321" t="s">
        <v>38</v>
      </c>
      <c r="F58" s="107" t="s">
        <v>2</v>
      </c>
      <c r="G58" s="107" t="s">
        <v>44</v>
      </c>
      <c r="H58" s="321" t="s">
        <v>45</v>
      </c>
      <c r="I58" s="321" t="s">
        <v>46</v>
      </c>
      <c r="J58" s="107" t="s">
        <v>4</v>
      </c>
      <c r="K58" s="107" t="s">
        <v>40</v>
      </c>
      <c r="L58" s="107" t="s">
        <v>6</v>
      </c>
      <c r="M58" s="107" t="s">
        <v>42</v>
      </c>
      <c r="N58" s="107" t="s">
        <v>43</v>
      </c>
      <c r="O58" s="107" t="s">
        <v>36</v>
      </c>
      <c r="P58" s="107" t="s">
        <v>9</v>
      </c>
      <c r="Q58" s="107" t="s">
        <v>28</v>
      </c>
      <c r="R58" s="107" t="s">
        <v>33</v>
      </c>
      <c r="S58" s="107" t="s">
        <v>34</v>
      </c>
      <c r="T58" s="34" t="s">
        <v>73</v>
      </c>
      <c r="U58" s="358" t="s">
        <v>210</v>
      </c>
      <c r="V58" s="347">
        <f>Q60+Q70</f>
        <v>6665315.0522500016</v>
      </c>
      <c r="W58" s="362" t="s">
        <v>241</v>
      </c>
    </row>
    <row r="59" spans="1:26" ht="12.75" customHeight="1" x14ac:dyDescent="0.2">
      <c r="A59" s="380"/>
      <c r="B59" s="377"/>
      <c r="C59" s="383"/>
      <c r="D59" s="382"/>
      <c r="E59" s="382"/>
      <c r="F59" s="122" t="s">
        <v>39</v>
      </c>
      <c r="G59" s="122" t="s">
        <v>41</v>
      </c>
      <c r="H59" s="382"/>
      <c r="I59" s="382"/>
      <c r="J59" s="122" t="s">
        <v>5</v>
      </c>
      <c r="K59" s="122" t="s">
        <v>5</v>
      </c>
      <c r="L59" s="122" t="s">
        <v>7</v>
      </c>
      <c r="M59" s="122" t="s">
        <v>8</v>
      </c>
      <c r="N59" s="122" t="s">
        <v>7</v>
      </c>
      <c r="O59" s="122" t="s">
        <v>7</v>
      </c>
      <c r="P59" s="122" t="s">
        <v>7</v>
      </c>
      <c r="Q59" s="122" t="s">
        <v>7</v>
      </c>
      <c r="R59" s="122" t="s">
        <v>7</v>
      </c>
      <c r="S59" s="122" t="s">
        <v>7</v>
      </c>
      <c r="T59" s="33" t="s">
        <v>74</v>
      </c>
      <c r="U59" s="359"/>
      <c r="V59" s="348"/>
      <c r="W59" s="363"/>
    </row>
    <row r="60" spans="1:26" ht="12.75" customHeight="1" x14ac:dyDescent="0.2">
      <c r="A60" s="380"/>
      <c r="B60" s="377"/>
      <c r="C60" s="316" t="s">
        <v>273</v>
      </c>
      <c r="D60" s="350">
        <v>1412</v>
      </c>
      <c r="E60" s="350">
        <v>369</v>
      </c>
      <c r="F60" s="337" t="s">
        <v>272</v>
      </c>
      <c r="G60" s="337" t="s">
        <v>231</v>
      </c>
      <c r="H60" s="361" t="s">
        <v>30</v>
      </c>
      <c r="I60" s="19" t="s">
        <v>47</v>
      </c>
      <c r="J60" s="36">
        <v>909.83</v>
      </c>
      <c r="K60" s="337" t="s">
        <v>104</v>
      </c>
      <c r="L60" s="337">
        <f>PODLAGE!D32</f>
        <v>2000000</v>
      </c>
      <c r="M60" s="10">
        <f>PODLAGE!$D$6</f>
        <v>176</v>
      </c>
      <c r="N60" s="36">
        <f>J60*M60</f>
        <v>160130.08000000002</v>
      </c>
      <c r="O60" s="337">
        <f>((PODLAGE!$D$13)*4)+PODLAGE!D17</f>
        <v>566130</v>
      </c>
      <c r="P60" s="367">
        <f>SUM(N60:N67)*1.1+O60+L60</f>
        <v>6050369.0522500016</v>
      </c>
      <c r="Q60" s="367">
        <f>SUM(P60)</f>
        <v>6050369.0522500016</v>
      </c>
      <c r="R60" s="367">
        <f>((D60*PODLAGE!$I$9*PODLAGE!$I$22)+(E60*PODLAGE!$J$22*12))*20</f>
        <v>1886070.2256</v>
      </c>
      <c r="S60" s="367">
        <f>SUM(Q60:R67)</f>
        <v>7936439.2778500021</v>
      </c>
      <c r="T60" s="368">
        <f>S60/D60</f>
        <v>5620.7077038597745</v>
      </c>
      <c r="U60" s="359"/>
      <c r="V60" s="348"/>
      <c r="W60" s="363"/>
    </row>
    <row r="61" spans="1:26" ht="12.75" customHeight="1" x14ac:dyDescent="0.2">
      <c r="A61" s="380"/>
      <c r="B61" s="377"/>
      <c r="C61" s="316"/>
      <c r="D61" s="350"/>
      <c r="E61" s="350"/>
      <c r="F61" s="337"/>
      <c r="G61" s="337"/>
      <c r="H61" s="361"/>
      <c r="I61" s="19" t="s">
        <v>48</v>
      </c>
      <c r="J61" s="36">
        <v>38.15</v>
      </c>
      <c r="K61" s="337"/>
      <c r="L61" s="337"/>
      <c r="M61" s="10">
        <f>PODLAGE!$D$7</f>
        <v>308</v>
      </c>
      <c r="N61" s="36">
        <f t="shared" ref="N61:N67" si="7">J61*M61</f>
        <v>11750.199999999999</v>
      </c>
      <c r="O61" s="337"/>
      <c r="P61" s="367"/>
      <c r="Q61" s="367"/>
      <c r="R61" s="367"/>
      <c r="S61" s="367"/>
      <c r="T61" s="368"/>
      <c r="U61" s="359"/>
      <c r="V61" s="348"/>
      <c r="W61" s="363"/>
    </row>
    <row r="62" spans="1:26" ht="12.75" customHeight="1" x14ac:dyDescent="0.2">
      <c r="A62" s="380"/>
      <c r="B62" s="377"/>
      <c r="C62" s="316"/>
      <c r="D62" s="350"/>
      <c r="E62" s="350"/>
      <c r="F62" s="337"/>
      <c r="G62" s="337"/>
      <c r="H62" s="361"/>
      <c r="I62" s="19" t="s">
        <v>49</v>
      </c>
      <c r="J62" s="36">
        <v>6257.0600000000013</v>
      </c>
      <c r="K62" s="337"/>
      <c r="L62" s="337"/>
      <c r="M62" s="10">
        <f>PODLAGE!$D$8</f>
        <v>440</v>
      </c>
      <c r="N62" s="36">
        <f t="shared" si="7"/>
        <v>2753106.4000000004</v>
      </c>
      <c r="O62" s="337"/>
      <c r="P62" s="367"/>
      <c r="Q62" s="367"/>
      <c r="R62" s="367"/>
      <c r="S62" s="367"/>
      <c r="T62" s="368"/>
      <c r="U62" s="359"/>
      <c r="V62" s="348"/>
      <c r="W62" s="363"/>
    </row>
    <row r="63" spans="1:26" ht="12.75" customHeight="1" x14ac:dyDescent="0.2">
      <c r="A63" s="380"/>
      <c r="B63" s="377"/>
      <c r="C63" s="316"/>
      <c r="D63" s="350"/>
      <c r="E63" s="350"/>
      <c r="F63" s="337"/>
      <c r="G63" s="337"/>
      <c r="H63" s="361" t="s">
        <v>29</v>
      </c>
      <c r="I63" s="19" t="s">
        <v>47</v>
      </c>
      <c r="J63" s="36">
        <v>455.87</v>
      </c>
      <c r="K63" s="337"/>
      <c r="L63" s="337"/>
      <c r="M63" s="10">
        <f>PODLAGE!$D$9</f>
        <v>112.99999999999999</v>
      </c>
      <c r="N63" s="36">
        <f t="shared" si="7"/>
        <v>51513.31</v>
      </c>
      <c r="O63" s="337"/>
      <c r="P63" s="367"/>
      <c r="Q63" s="367"/>
      <c r="R63" s="367"/>
      <c r="S63" s="367"/>
      <c r="T63" s="368"/>
      <c r="U63" s="359"/>
      <c r="V63" s="348"/>
      <c r="W63" s="363"/>
    </row>
    <row r="64" spans="1:26" ht="12.75" customHeight="1" x14ac:dyDescent="0.2">
      <c r="A64" s="380"/>
      <c r="B64" s="377"/>
      <c r="C64" s="316"/>
      <c r="D64" s="350"/>
      <c r="E64" s="350"/>
      <c r="F64" s="337"/>
      <c r="G64" s="337"/>
      <c r="H64" s="361"/>
      <c r="I64" s="19" t="s">
        <v>48</v>
      </c>
      <c r="J64" s="36">
        <v>48.21</v>
      </c>
      <c r="K64" s="337"/>
      <c r="L64" s="337"/>
      <c r="M64" s="10">
        <f>PODLAGE!$D$10</f>
        <v>197.74999999999997</v>
      </c>
      <c r="N64" s="36">
        <f t="shared" si="7"/>
        <v>9533.5274999999983</v>
      </c>
      <c r="O64" s="337"/>
      <c r="P64" s="367"/>
      <c r="Q64" s="367"/>
      <c r="R64" s="367"/>
      <c r="S64" s="367"/>
      <c r="T64" s="368"/>
      <c r="U64" s="359"/>
      <c r="V64" s="348"/>
      <c r="W64" s="363"/>
    </row>
    <row r="65" spans="1:23" ht="12.75" customHeight="1" x14ac:dyDescent="0.2">
      <c r="A65" s="380"/>
      <c r="B65" s="377"/>
      <c r="C65" s="316"/>
      <c r="D65" s="350"/>
      <c r="E65" s="350"/>
      <c r="F65" s="337"/>
      <c r="G65" s="337"/>
      <c r="H65" s="361"/>
      <c r="I65" s="19" t="s">
        <v>49</v>
      </c>
      <c r="J65" s="36">
        <v>566.28</v>
      </c>
      <c r="K65" s="337"/>
      <c r="L65" s="337"/>
      <c r="M65" s="10">
        <f>PODLAGE!$D$11</f>
        <v>282.5</v>
      </c>
      <c r="N65" s="36">
        <f t="shared" si="7"/>
        <v>159974.1</v>
      </c>
      <c r="O65" s="337"/>
      <c r="P65" s="367"/>
      <c r="Q65" s="367"/>
      <c r="R65" s="367"/>
      <c r="S65" s="367"/>
      <c r="T65" s="368"/>
      <c r="U65" s="359"/>
      <c r="V65" s="348"/>
      <c r="W65" s="363"/>
    </row>
    <row r="66" spans="1:23" ht="12.75" customHeight="1" x14ac:dyDescent="0.2">
      <c r="A66" s="380"/>
      <c r="B66" s="377"/>
      <c r="C66" s="316"/>
      <c r="D66" s="350"/>
      <c r="E66" s="350"/>
      <c r="F66" s="337"/>
      <c r="G66" s="337"/>
      <c r="H66" s="361" t="s">
        <v>114</v>
      </c>
      <c r="I66" s="19" t="s">
        <v>115</v>
      </c>
      <c r="J66" s="36">
        <v>0</v>
      </c>
      <c r="K66" s="337"/>
      <c r="L66" s="337"/>
      <c r="M66" s="10">
        <f>PODLAGE!$D$15</f>
        <v>225.99999999999997</v>
      </c>
      <c r="N66" s="36">
        <f t="shared" si="7"/>
        <v>0</v>
      </c>
      <c r="O66" s="337"/>
      <c r="P66" s="367"/>
      <c r="Q66" s="367"/>
      <c r="R66" s="367"/>
      <c r="S66" s="367"/>
      <c r="T66" s="368"/>
      <c r="U66" s="359"/>
      <c r="V66" s="348"/>
      <c r="W66" s="363"/>
    </row>
    <row r="67" spans="1:23" ht="12.75" customHeight="1" x14ac:dyDescent="0.2">
      <c r="A67" s="380"/>
      <c r="B67" s="377"/>
      <c r="C67" s="316"/>
      <c r="D67" s="350"/>
      <c r="E67" s="350"/>
      <c r="F67" s="337"/>
      <c r="G67" s="337"/>
      <c r="H67" s="361"/>
      <c r="I67" s="19" t="s">
        <v>116</v>
      </c>
      <c r="J67" s="36">
        <v>63.37</v>
      </c>
      <c r="K67" s="337"/>
      <c r="L67" s="337"/>
      <c r="M67" s="10">
        <f>PODLAGE!$D$16</f>
        <v>338.99999999999994</v>
      </c>
      <c r="N67" s="36">
        <f t="shared" si="7"/>
        <v>21482.429999999997</v>
      </c>
      <c r="O67" s="337"/>
      <c r="P67" s="367"/>
      <c r="Q67" s="367"/>
      <c r="R67" s="367"/>
      <c r="S67" s="367"/>
      <c r="T67" s="368"/>
      <c r="U67" s="359"/>
      <c r="V67" s="348"/>
      <c r="W67" s="363"/>
    </row>
    <row r="68" spans="1:23" ht="89.25" customHeight="1" x14ac:dyDescent="0.2">
      <c r="A68" s="380"/>
      <c r="B68" s="377"/>
      <c r="C68" s="383" t="s">
        <v>20</v>
      </c>
      <c r="D68" s="384" t="s">
        <v>31</v>
      </c>
      <c r="E68" s="382" t="s">
        <v>1</v>
      </c>
      <c r="F68" s="112" t="s">
        <v>10</v>
      </c>
      <c r="G68" s="112" t="s">
        <v>12</v>
      </c>
      <c r="H68" s="382" t="s">
        <v>14</v>
      </c>
      <c r="I68" s="382" t="s">
        <v>14</v>
      </c>
      <c r="J68" s="382" t="s">
        <v>14</v>
      </c>
      <c r="K68" s="382" t="s">
        <v>14</v>
      </c>
      <c r="L68" s="382" t="s">
        <v>14</v>
      </c>
      <c r="M68" s="382" t="s">
        <v>14</v>
      </c>
      <c r="N68" s="382" t="s">
        <v>14</v>
      </c>
      <c r="O68" s="112" t="s">
        <v>36</v>
      </c>
      <c r="P68" s="112" t="s">
        <v>15</v>
      </c>
      <c r="Q68" s="112" t="s">
        <v>28</v>
      </c>
      <c r="R68" s="112" t="s">
        <v>33</v>
      </c>
      <c r="S68" s="112" t="s">
        <v>34</v>
      </c>
      <c r="T68" s="80" t="s">
        <v>73</v>
      </c>
      <c r="U68" s="359"/>
      <c r="V68" s="348"/>
      <c r="W68" s="363"/>
    </row>
    <row r="69" spans="1:23" ht="12.75" customHeight="1" x14ac:dyDescent="0.2">
      <c r="A69" s="380"/>
      <c r="B69" s="377"/>
      <c r="C69" s="345"/>
      <c r="D69" s="385"/>
      <c r="E69" s="346"/>
      <c r="F69" s="122" t="s">
        <v>11</v>
      </c>
      <c r="G69" s="122" t="s">
        <v>13</v>
      </c>
      <c r="H69" s="346"/>
      <c r="I69" s="346"/>
      <c r="J69" s="346"/>
      <c r="K69" s="346"/>
      <c r="L69" s="346"/>
      <c r="M69" s="346"/>
      <c r="N69" s="346"/>
      <c r="O69" s="122" t="s">
        <v>7</v>
      </c>
      <c r="P69" s="122" t="s">
        <v>7</v>
      </c>
      <c r="Q69" s="122" t="s">
        <v>7</v>
      </c>
      <c r="R69" s="122" t="s">
        <v>7</v>
      </c>
      <c r="S69" s="122" t="s">
        <v>7</v>
      </c>
      <c r="T69" s="33" t="s">
        <v>74</v>
      </c>
      <c r="U69" s="359"/>
      <c r="V69" s="348"/>
      <c r="W69" s="363"/>
    </row>
    <row r="70" spans="1:23" ht="12.75" customHeight="1" x14ac:dyDescent="0.2">
      <c r="A70" s="380"/>
      <c r="B70" s="377"/>
      <c r="C70" s="386" t="s">
        <v>308</v>
      </c>
      <c r="D70" s="4" t="s">
        <v>16</v>
      </c>
      <c r="E70" s="7">
        <v>243</v>
      </c>
      <c r="F70" s="7">
        <v>94</v>
      </c>
      <c r="G70" s="5">
        <f>PODLAGE!$E$37</f>
        <v>4294</v>
      </c>
      <c r="H70" s="113" t="s">
        <v>14</v>
      </c>
      <c r="I70" s="113" t="s">
        <v>14</v>
      </c>
      <c r="J70" s="113" t="s">
        <v>14</v>
      </c>
      <c r="K70" s="113" t="s">
        <v>14</v>
      </c>
      <c r="L70" s="113" t="s">
        <v>14</v>
      </c>
      <c r="M70" s="113" t="s">
        <v>14</v>
      </c>
      <c r="N70" s="113" t="s">
        <v>14</v>
      </c>
      <c r="O70" s="371">
        <v>0</v>
      </c>
      <c r="P70" s="77">
        <f>F70*G70</f>
        <v>403636</v>
      </c>
      <c r="Q70" s="354">
        <f>SUM(O70:P72)</f>
        <v>614946</v>
      </c>
      <c r="R70" s="10">
        <f>F70*PODLAGE!$K$25</f>
        <v>872331.75</v>
      </c>
      <c r="S70" s="354">
        <f>SUM(Q70:R72)</f>
        <v>1876300.5899999999</v>
      </c>
      <c r="T70" s="354">
        <f>S70/(E70+E71+E72)</f>
        <v>4333.257713625866</v>
      </c>
      <c r="U70" s="359"/>
      <c r="V70" s="348"/>
      <c r="W70" s="363"/>
    </row>
    <row r="71" spans="1:23" ht="13.5" customHeight="1" x14ac:dyDescent="0.2">
      <c r="A71" s="380"/>
      <c r="B71" s="377"/>
      <c r="C71" s="309"/>
      <c r="D71" s="4" t="s">
        <v>17</v>
      </c>
      <c r="E71" s="7">
        <v>158</v>
      </c>
      <c r="F71" s="7">
        <v>23</v>
      </c>
      <c r="G71" s="5">
        <f>PODLAGE!$E$38</f>
        <v>7909.9999999999991</v>
      </c>
      <c r="H71" s="113" t="s">
        <v>14</v>
      </c>
      <c r="I71" s="113" t="s">
        <v>14</v>
      </c>
      <c r="J71" s="113" t="s">
        <v>14</v>
      </c>
      <c r="K71" s="113" t="s">
        <v>14</v>
      </c>
      <c r="L71" s="113" t="s">
        <v>14</v>
      </c>
      <c r="M71" s="113" t="s">
        <v>14</v>
      </c>
      <c r="N71" s="113" t="s">
        <v>14</v>
      </c>
      <c r="O71" s="394"/>
      <c r="P71" s="77">
        <f t="shared" ref="P71:P72" si="8">F71*G71</f>
        <v>181929.99999999997</v>
      </c>
      <c r="Q71" s="369"/>
      <c r="R71" s="10">
        <f>F71*PODLAGE!$K$26</f>
        <v>341508.59999999992</v>
      </c>
      <c r="S71" s="369"/>
      <c r="T71" s="369"/>
      <c r="U71" s="359"/>
      <c r="V71" s="348"/>
      <c r="W71" s="363"/>
    </row>
    <row r="72" spans="1:23" ht="13.5" customHeight="1" thickBot="1" x14ac:dyDescent="0.25">
      <c r="A72" s="380"/>
      <c r="B72" s="377"/>
      <c r="C72" s="309"/>
      <c r="D72" s="4" t="s">
        <v>18</v>
      </c>
      <c r="E72" s="7">
        <v>32</v>
      </c>
      <c r="F72" s="7">
        <v>2</v>
      </c>
      <c r="G72" s="5">
        <f>PODLAGE!$E$39</f>
        <v>14689.999999999998</v>
      </c>
      <c r="H72" s="113" t="s">
        <v>14</v>
      </c>
      <c r="I72" s="113" t="s">
        <v>14</v>
      </c>
      <c r="J72" s="113" t="s">
        <v>14</v>
      </c>
      <c r="K72" s="113" t="s">
        <v>14</v>
      </c>
      <c r="L72" s="113" t="s">
        <v>14</v>
      </c>
      <c r="M72" s="113" t="s">
        <v>14</v>
      </c>
      <c r="N72" s="113" t="s">
        <v>14</v>
      </c>
      <c r="O72" s="394"/>
      <c r="P72" s="77">
        <f t="shared" si="8"/>
        <v>29379.999999999996</v>
      </c>
      <c r="Q72" s="369"/>
      <c r="R72" s="10">
        <f>F72*PODLAGE!$K$27</f>
        <v>47514.239999999991</v>
      </c>
      <c r="S72" s="369"/>
      <c r="T72" s="369"/>
      <c r="U72" s="359"/>
      <c r="V72" s="348"/>
      <c r="W72" s="364"/>
    </row>
    <row r="73" spans="1:23" ht="89.25" customHeight="1" x14ac:dyDescent="0.2">
      <c r="A73" s="380"/>
      <c r="B73" s="376">
        <v>3</v>
      </c>
      <c r="C73" s="344" t="s">
        <v>20</v>
      </c>
      <c r="D73" s="393" t="s">
        <v>31</v>
      </c>
      <c r="E73" s="331" t="s">
        <v>1</v>
      </c>
      <c r="F73" s="107" t="s">
        <v>10</v>
      </c>
      <c r="G73" s="107" t="s">
        <v>12</v>
      </c>
      <c r="H73" s="331" t="s">
        <v>14</v>
      </c>
      <c r="I73" s="331" t="s">
        <v>14</v>
      </c>
      <c r="J73" s="331" t="s">
        <v>14</v>
      </c>
      <c r="K73" s="331" t="s">
        <v>14</v>
      </c>
      <c r="L73" s="331" t="s">
        <v>14</v>
      </c>
      <c r="M73" s="331" t="s">
        <v>14</v>
      </c>
      <c r="N73" s="331" t="s">
        <v>14</v>
      </c>
      <c r="O73" s="107" t="s">
        <v>36</v>
      </c>
      <c r="P73" s="107" t="s">
        <v>15</v>
      </c>
      <c r="Q73" s="107" t="s">
        <v>28</v>
      </c>
      <c r="R73" s="107" t="s">
        <v>33</v>
      </c>
      <c r="S73" s="107" t="s">
        <v>34</v>
      </c>
      <c r="T73" s="34" t="s">
        <v>73</v>
      </c>
      <c r="U73" s="365" t="s">
        <v>246</v>
      </c>
      <c r="V73" s="347">
        <f>Q75</f>
        <v>2486079.1</v>
      </c>
    </row>
    <row r="74" spans="1:23" ht="12.75" customHeight="1" x14ac:dyDescent="0.2">
      <c r="A74" s="380"/>
      <c r="B74" s="377"/>
      <c r="C74" s="345"/>
      <c r="D74" s="385"/>
      <c r="E74" s="346"/>
      <c r="F74" s="122" t="s">
        <v>11</v>
      </c>
      <c r="G74" s="122" t="s">
        <v>13</v>
      </c>
      <c r="H74" s="346"/>
      <c r="I74" s="346"/>
      <c r="J74" s="346"/>
      <c r="K74" s="346"/>
      <c r="L74" s="346"/>
      <c r="M74" s="346"/>
      <c r="N74" s="346"/>
      <c r="O74" s="122" t="s">
        <v>7</v>
      </c>
      <c r="P74" s="122" t="s">
        <v>7</v>
      </c>
      <c r="Q74" s="122" t="s">
        <v>7</v>
      </c>
      <c r="R74" s="122" t="s">
        <v>7</v>
      </c>
      <c r="S74" s="122" t="s">
        <v>7</v>
      </c>
      <c r="T74" s="33" t="s">
        <v>74</v>
      </c>
      <c r="U74" s="366"/>
      <c r="V74" s="348"/>
    </row>
    <row r="75" spans="1:23" ht="12.75" customHeight="1" x14ac:dyDescent="0.2">
      <c r="A75" s="380"/>
      <c r="B75" s="377"/>
      <c r="C75" s="386" t="s">
        <v>308</v>
      </c>
      <c r="D75" s="4" t="s">
        <v>16</v>
      </c>
      <c r="E75" s="7">
        <v>1182</v>
      </c>
      <c r="F75" s="7">
        <v>407</v>
      </c>
      <c r="G75" s="5">
        <f>PODLAGE!$E$37</f>
        <v>4294</v>
      </c>
      <c r="H75" s="113" t="s">
        <v>14</v>
      </c>
      <c r="I75" s="113" t="s">
        <v>14</v>
      </c>
      <c r="J75" s="113" t="s">
        <v>14</v>
      </c>
      <c r="K75" s="113" t="s">
        <v>14</v>
      </c>
      <c r="L75" s="113" t="s">
        <v>14</v>
      </c>
      <c r="M75" s="113" t="s">
        <v>14</v>
      </c>
      <c r="N75" s="113" t="s">
        <v>14</v>
      </c>
      <c r="O75" s="371">
        <v>0</v>
      </c>
      <c r="P75" s="77">
        <f>F75*G75</f>
        <v>1747658</v>
      </c>
      <c r="Q75" s="354">
        <f>SUM(O75:P79)</f>
        <v>2486079.1</v>
      </c>
      <c r="R75" s="10">
        <f>F75*PODLAGE!$K$25</f>
        <v>3777010.875</v>
      </c>
      <c r="S75" s="354">
        <f>SUM(Q75:R79)</f>
        <v>7627887.0249999985</v>
      </c>
      <c r="T75" s="356">
        <f>S75/(E75+E76+E77+E78+E79)</f>
        <v>4134.3561111111103</v>
      </c>
      <c r="U75" s="366"/>
      <c r="V75" s="348"/>
    </row>
    <row r="76" spans="1:23" ht="13.5" customHeight="1" x14ac:dyDescent="0.2">
      <c r="A76" s="380"/>
      <c r="B76" s="377"/>
      <c r="C76" s="309"/>
      <c r="D76" s="4" t="s">
        <v>17</v>
      </c>
      <c r="E76" s="7">
        <v>493</v>
      </c>
      <c r="F76" s="7">
        <v>73</v>
      </c>
      <c r="G76" s="5">
        <f>PODLAGE!$E$38</f>
        <v>7909.9999999999991</v>
      </c>
      <c r="H76" s="113" t="s">
        <v>14</v>
      </c>
      <c r="I76" s="113" t="s">
        <v>14</v>
      </c>
      <c r="J76" s="113" t="s">
        <v>14</v>
      </c>
      <c r="K76" s="113" t="s">
        <v>14</v>
      </c>
      <c r="L76" s="113" t="s">
        <v>14</v>
      </c>
      <c r="M76" s="113" t="s">
        <v>14</v>
      </c>
      <c r="N76" s="113" t="s">
        <v>14</v>
      </c>
      <c r="O76" s="394"/>
      <c r="P76" s="77">
        <f t="shared" ref="P76:P79" si="9">F76*G76</f>
        <v>577429.99999999988</v>
      </c>
      <c r="Q76" s="369"/>
      <c r="R76" s="10">
        <f>F76*PODLAGE!$K$26</f>
        <v>1083918.5999999999</v>
      </c>
      <c r="S76" s="369"/>
      <c r="T76" s="334"/>
      <c r="U76" s="366"/>
      <c r="V76" s="348"/>
    </row>
    <row r="77" spans="1:23" ht="13.5" customHeight="1" x14ac:dyDescent="0.2">
      <c r="A77" s="380"/>
      <c r="B77" s="377"/>
      <c r="C77" s="309"/>
      <c r="D77" s="4" t="s">
        <v>18</v>
      </c>
      <c r="E77" s="7">
        <v>75</v>
      </c>
      <c r="F77" s="7">
        <v>5</v>
      </c>
      <c r="G77" s="5">
        <f>PODLAGE!$E$39</f>
        <v>14689.999999999998</v>
      </c>
      <c r="H77" s="113" t="s">
        <v>14</v>
      </c>
      <c r="I77" s="113" t="s">
        <v>14</v>
      </c>
      <c r="J77" s="113" t="s">
        <v>14</v>
      </c>
      <c r="K77" s="113" t="s">
        <v>14</v>
      </c>
      <c r="L77" s="113" t="s">
        <v>14</v>
      </c>
      <c r="M77" s="113" t="s">
        <v>14</v>
      </c>
      <c r="N77" s="113" t="s">
        <v>14</v>
      </c>
      <c r="O77" s="394"/>
      <c r="P77" s="77">
        <f t="shared" si="9"/>
        <v>73449.999999999985</v>
      </c>
      <c r="Q77" s="369"/>
      <c r="R77" s="10">
        <f>F77*PODLAGE!$K$27</f>
        <v>118785.59999999998</v>
      </c>
      <c r="S77" s="369"/>
      <c r="T77" s="334"/>
      <c r="U77" s="366"/>
      <c r="V77" s="348"/>
    </row>
    <row r="78" spans="1:23" ht="13.5" customHeight="1" x14ac:dyDescent="0.2">
      <c r="A78" s="380"/>
      <c r="B78" s="377"/>
      <c r="C78" s="309"/>
      <c r="D78" s="4" t="s">
        <v>198</v>
      </c>
      <c r="E78" s="7">
        <v>26</v>
      </c>
      <c r="F78" s="7">
        <v>1</v>
      </c>
      <c r="G78" s="5">
        <f>PODLAGE!$E$21</f>
        <v>24125.499999999996</v>
      </c>
      <c r="H78" s="113" t="s">
        <v>14</v>
      </c>
      <c r="I78" s="113" t="s">
        <v>14</v>
      </c>
      <c r="J78" s="113" t="s">
        <v>14</v>
      </c>
      <c r="K78" s="113" t="s">
        <v>14</v>
      </c>
      <c r="L78" s="113" t="s">
        <v>14</v>
      </c>
      <c r="M78" s="113" t="s">
        <v>14</v>
      </c>
      <c r="N78" s="113" t="s">
        <v>14</v>
      </c>
      <c r="O78" s="394"/>
      <c r="P78" s="77">
        <f t="shared" si="9"/>
        <v>24125.499999999996</v>
      </c>
      <c r="Q78" s="369"/>
      <c r="R78" s="10">
        <f>F78*PODLAGE!$K$28</f>
        <v>38357.85</v>
      </c>
      <c r="S78" s="369"/>
      <c r="T78" s="334"/>
      <c r="U78" s="366"/>
      <c r="V78" s="348"/>
    </row>
    <row r="79" spans="1:23" ht="13.5" customHeight="1" thickBot="1" x14ac:dyDescent="0.25">
      <c r="A79" s="380"/>
      <c r="B79" s="378"/>
      <c r="C79" s="397"/>
      <c r="D79" s="25" t="s">
        <v>199</v>
      </c>
      <c r="E79" s="28">
        <v>69</v>
      </c>
      <c r="F79" s="28">
        <v>2</v>
      </c>
      <c r="G79" s="26">
        <f>PODLAGE!$E$22</f>
        <v>31707.799999999996</v>
      </c>
      <c r="H79" s="114" t="s">
        <v>14</v>
      </c>
      <c r="I79" s="114" t="s">
        <v>14</v>
      </c>
      <c r="J79" s="114" t="s">
        <v>14</v>
      </c>
      <c r="K79" s="114" t="s">
        <v>14</v>
      </c>
      <c r="L79" s="114" t="s">
        <v>14</v>
      </c>
      <c r="M79" s="114" t="s">
        <v>14</v>
      </c>
      <c r="N79" s="114" t="s">
        <v>14</v>
      </c>
      <c r="O79" s="395"/>
      <c r="P79" s="74">
        <f t="shared" si="9"/>
        <v>63415.599999999991</v>
      </c>
      <c r="Q79" s="396"/>
      <c r="R79" s="72">
        <f>F79*PODLAGE!$K$29</f>
        <v>123734.99999999999</v>
      </c>
      <c r="S79" s="396"/>
      <c r="T79" s="335"/>
      <c r="U79" s="366"/>
      <c r="V79" s="348"/>
    </row>
    <row r="80" spans="1:23" ht="89.25" customHeight="1" x14ac:dyDescent="0.2">
      <c r="A80" s="392" t="s">
        <v>181</v>
      </c>
      <c r="B80" s="376">
        <v>1</v>
      </c>
      <c r="C80" s="344" t="s">
        <v>0</v>
      </c>
      <c r="D80" s="331" t="s">
        <v>1</v>
      </c>
      <c r="E80" s="331" t="s">
        <v>38</v>
      </c>
      <c r="F80" s="107" t="s">
        <v>2</v>
      </c>
      <c r="G80" s="107" t="s">
        <v>44</v>
      </c>
      <c r="H80" s="331" t="s">
        <v>45</v>
      </c>
      <c r="I80" s="331" t="s">
        <v>46</v>
      </c>
      <c r="J80" s="107" t="s">
        <v>4</v>
      </c>
      <c r="K80" s="107" t="s">
        <v>40</v>
      </c>
      <c r="L80" s="107" t="s">
        <v>6</v>
      </c>
      <c r="M80" s="107" t="s">
        <v>42</v>
      </c>
      <c r="N80" s="107" t="s">
        <v>43</v>
      </c>
      <c r="O80" s="107" t="s">
        <v>36</v>
      </c>
      <c r="P80" s="107" t="s">
        <v>9</v>
      </c>
      <c r="Q80" s="107" t="s">
        <v>28</v>
      </c>
      <c r="R80" s="107" t="s">
        <v>33</v>
      </c>
      <c r="S80" s="107" t="s">
        <v>34</v>
      </c>
      <c r="T80" s="34" t="s">
        <v>73</v>
      </c>
      <c r="U80" s="358" t="s">
        <v>213</v>
      </c>
      <c r="V80" s="347">
        <f>Q82</f>
        <v>1521760.0425000002</v>
      </c>
    </row>
    <row r="81" spans="1:26" ht="12.75" customHeight="1" x14ac:dyDescent="0.2">
      <c r="A81" s="380"/>
      <c r="B81" s="377"/>
      <c r="C81" s="345"/>
      <c r="D81" s="346"/>
      <c r="E81" s="346"/>
      <c r="F81" s="122" t="s">
        <v>39</v>
      </c>
      <c r="G81" s="122" t="s">
        <v>41</v>
      </c>
      <c r="H81" s="346"/>
      <c r="I81" s="346"/>
      <c r="J81" s="122" t="s">
        <v>5</v>
      </c>
      <c r="K81" s="122" t="s">
        <v>5</v>
      </c>
      <c r="L81" s="122" t="s">
        <v>7</v>
      </c>
      <c r="M81" s="122" t="s">
        <v>8</v>
      </c>
      <c r="N81" s="122" t="s">
        <v>7</v>
      </c>
      <c r="O81" s="122" t="s">
        <v>7</v>
      </c>
      <c r="P81" s="122" t="s">
        <v>7</v>
      </c>
      <c r="Q81" s="122" t="s">
        <v>7</v>
      </c>
      <c r="R81" s="122" t="s">
        <v>7</v>
      </c>
      <c r="S81" s="122" t="s">
        <v>7</v>
      </c>
      <c r="T81" s="33" t="s">
        <v>74</v>
      </c>
      <c r="U81" s="359"/>
      <c r="V81" s="348"/>
    </row>
    <row r="82" spans="1:26" ht="12.75" customHeight="1" x14ac:dyDescent="0.2">
      <c r="A82" s="380"/>
      <c r="B82" s="377"/>
      <c r="C82" s="316" t="s">
        <v>216</v>
      </c>
      <c r="D82" s="350">
        <v>235</v>
      </c>
      <c r="E82" s="350">
        <v>67</v>
      </c>
      <c r="F82" s="337" t="s">
        <v>211</v>
      </c>
      <c r="G82" s="337" t="s">
        <v>105</v>
      </c>
      <c r="H82" s="361" t="s">
        <v>30</v>
      </c>
      <c r="I82" s="19" t="s">
        <v>47</v>
      </c>
      <c r="J82" s="36">
        <v>245.61</v>
      </c>
      <c r="K82" s="337" t="s">
        <v>104</v>
      </c>
      <c r="L82" s="337">
        <f>PODLAGE!D27</f>
        <v>144075</v>
      </c>
      <c r="M82" s="10">
        <f>PODLAGE!$D$6</f>
        <v>176</v>
      </c>
      <c r="N82" s="36">
        <f>J82*M82</f>
        <v>43227.360000000001</v>
      </c>
      <c r="O82" s="337">
        <f>PODLAGE!D17</f>
        <v>1130</v>
      </c>
      <c r="P82" s="367">
        <f>SUM(N82:N89)*1.1+O82+L82</f>
        <v>1521760.0425000002</v>
      </c>
      <c r="Q82" s="367">
        <f>SUM(P82)</f>
        <v>1521760.0425000002</v>
      </c>
      <c r="R82" s="367">
        <f>((D82*PODLAGE!$I$9*PODLAGE!$I$22)+(E82*PODLAGE!$J$22*12))*20</f>
        <v>316332.06</v>
      </c>
      <c r="S82" s="367">
        <f>SUM(Q82:R89)</f>
        <v>1838092.1025000003</v>
      </c>
      <c r="T82" s="368">
        <f>S82/D82</f>
        <v>7821.6685212765969</v>
      </c>
      <c r="U82" s="359"/>
      <c r="V82" s="348"/>
    </row>
    <row r="83" spans="1:26" ht="12.75" customHeight="1" x14ac:dyDescent="0.2">
      <c r="A83" s="380"/>
      <c r="B83" s="377"/>
      <c r="C83" s="316"/>
      <c r="D83" s="350"/>
      <c r="E83" s="350"/>
      <c r="F83" s="337"/>
      <c r="G83" s="337"/>
      <c r="H83" s="361"/>
      <c r="I83" s="19" t="s">
        <v>48</v>
      </c>
      <c r="J83" s="36">
        <v>257.77999999999997</v>
      </c>
      <c r="K83" s="337"/>
      <c r="L83" s="337"/>
      <c r="M83" s="10">
        <f>PODLAGE!$D$7</f>
        <v>308</v>
      </c>
      <c r="N83" s="36">
        <f t="shared" ref="N83:N89" si="10">J83*M83</f>
        <v>79396.239999999991</v>
      </c>
      <c r="O83" s="337"/>
      <c r="P83" s="367"/>
      <c r="Q83" s="367"/>
      <c r="R83" s="367"/>
      <c r="S83" s="367"/>
      <c r="T83" s="368"/>
      <c r="U83" s="359"/>
      <c r="V83" s="348"/>
    </row>
    <row r="84" spans="1:26" ht="12.75" customHeight="1" x14ac:dyDescent="0.2">
      <c r="A84" s="380"/>
      <c r="B84" s="377"/>
      <c r="C84" s="316"/>
      <c r="D84" s="350"/>
      <c r="E84" s="350"/>
      <c r="F84" s="337"/>
      <c r="G84" s="337"/>
      <c r="H84" s="361"/>
      <c r="I84" s="19" t="s">
        <v>49</v>
      </c>
      <c r="J84" s="36">
        <v>2457.96</v>
      </c>
      <c r="K84" s="337"/>
      <c r="L84" s="337"/>
      <c r="M84" s="10">
        <f>PODLAGE!$D$8</f>
        <v>440</v>
      </c>
      <c r="N84" s="36">
        <f t="shared" si="10"/>
        <v>1081502.3999999999</v>
      </c>
      <c r="O84" s="337"/>
      <c r="P84" s="367"/>
      <c r="Q84" s="367"/>
      <c r="R84" s="367"/>
      <c r="S84" s="367"/>
      <c r="T84" s="368"/>
      <c r="U84" s="359"/>
      <c r="V84" s="348"/>
      <c r="Z84" s="9"/>
    </row>
    <row r="85" spans="1:26" ht="12.75" customHeight="1" x14ac:dyDescent="0.2">
      <c r="A85" s="380"/>
      <c r="B85" s="377"/>
      <c r="C85" s="316"/>
      <c r="D85" s="350"/>
      <c r="E85" s="350"/>
      <c r="F85" s="337"/>
      <c r="G85" s="337"/>
      <c r="H85" s="361" t="s">
        <v>29</v>
      </c>
      <c r="I85" s="19" t="s">
        <v>47</v>
      </c>
      <c r="J85" s="36">
        <v>0</v>
      </c>
      <c r="K85" s="337"/>
      <c r="L85" s="337"/>
      <c r="M85" s="10">
        <f>PODLAGE!$D$9</f>
        <v>112.99999999999999</v>
      </c>
      <c r="N85" s="36">
        <f t="shared" si="10"/>
        <v>0</v>
      </c>
      <c r="O85" s="337"/>
      <c r="P85" s="367"/>
      <c r="Q85" s="367"/>
      <c r="R85" s="367"/>
      <c r="S85" s="367"/>
      <c r="T85" s="368"/>
      <c r="U85" s="359"/>
      <c r="V85" s="348"/>
    </row>
    <row r="86" spans="1:26" ht="12.75" customHeight="1" x14ac:dyDescent="0.2">
      <c r="A86" s="380"/>
      <c r="B86" s="377"/>
      <c r="C86" s="316"/>
      <c r="D86" s="350"/>
      <c r="E86" s="350"/>
      <c r="F86" s="337"/>
      <c r="G86" s="337"/>
      <c r="H86" s="361"/>
      <c r="I86" s="19" t="s">
        <v>48</v>
      </c>
      <c r="J86" s="36">
        <v>0</v>
      </c>
      <c r="K86" s="337"/>
      <c r="L86" s="337"/>
      <c r="M86" s="10">
        <f>PODLAGE!$D$10</f>
        <v>197.74999999999997</v>
      </c>
      <c r="N86" s="36">
        <f t="shared" si="10"/>
        <v>0</v>
      </c>
      <c r="O86" s="337"/>
      <c r="P86" s="367"/>
      <c r="Q86" s="367"/>
      <c r="R86" s="367"/>
      <c r="S86" s="367"/>
      <c r="T86" s="368"/>
      <c r="U86" s="359"/>
      <c r="V86" s="348"/>
    </row>
    <row r="87" spans="1:26" ht="12.75" customHeight="1" x14ac:dyDescent="0.2">
      <c r="A87" s="380"/>
      <c r="B87" s="377"/>
      <c r="C87" s="316"/>
      <c r="D87" s="350"/>
      <c r="E87" s="350"/>
      <c r="F87" s="337"/>
      <c r="G87" s="337"/>
      <c r="H87" s="361"/>
      <c r="I87" s="19" t="s">
        <v>49</v>
      </c>
      <c r="J87" s="36">
        <v>167.39</v>
      </c>
      <c r="K87" s="337"/>
      <c r="L87" s="337"/>
      <c r="M87" s="10">
        <f>PODLAGE!$D$11</f>
        <v>282.5</v>
      </c>
      <c r="N87" s="36">
        <f t="shared" si="10"/>
        <v>47287.674999999996</v>
      </c>
      <c r="O87" s="337"/>
      <c r="P87" s="367"/>
      <c r="Q87" s="367"/>
      <c r="R87" s="367"/>
      <c r="S87" s="367"/>
      <c r="T87" s="368"/>
      <c r="U87" s="359"/>
      <c r="V87" s="348"/>
    </row>
    <row r="88" spans="1:26" ht="12.75" customHeight="1" x14ac:dyDescent="0.2">
      <c r="A88" s="380"/>
      <c r="B88" s="377"/>
      <c r="C88" s="316"/>
      <c r="D88" s="350"/>
      <c r="E88" s="350"/>
      <c r="F88" s="337"/>
      <c r="G88" s="337"/>
      <c r="H88" s="361" t="s">
        <v>114</v>
      </c>
      <c r="I88" s="19" t="s">
        <v>115</v>
      </c>
      <c r="J88" s="36">
        <v>0</v>
      </c>
      <c r="K88" s="337"/>
      <c r="L88" s="337"/>
      <c r="M88" s="10">
        <f>PODLAGE!$D$15</f>
        <v>225.99999999999997</v>
      </c>
      <c r="N88" s="36">
        <f t="shared" si="10"/>
        <v>0</v>
      </c>
      <c r="O88" s="337"/>
      <c r="P88" s="367"/>
      <c r="Q88" s="367"/>
      <c r="R88" s="367"/>
      <c r="S88" s="367"/>
      <c r="T88" s="368"/>
      <c r="U88" s="359"/>
      <c r="V88" s="348"/>
    </row>
    <row r="89" spans="1:26" ht="12.75" customHeight="1" thickBot="1" x14ac:dyDescent="0.25">
      <c r="A89" s="380"/>
      <c r="B89" s="377"/>
      <c r="C89" s="316"/>
      <c r="D89" s="350"/>
      <c r="E89" s="350"/>
      <c r="F89" s="337"/>
      <c r="G89" s="337"/>
      <c r="H89" s="361"/>
      <c r="I89" s="19" t="s">
        <v>116</v>
      </c>
      <c r="J89" s="36">
        <v>0</v>
      </c>
      <c r="K89" s="337"/>
      <c r="L89" s="337"/>
      <c r="M89" s="10">
        <f>PODLAGE!$D$16</f>
        <v>338.99999999999994</v>
      </c>
      <c r="N89" s="36">
        <f t="shared" si="10"/>
        <v>0</v>
      </c>
      <c r="O89" s="337"/>
      <c r="P89" s="367"/>
      <c r="Q89" s="367"/>
      <c r="R89" s="367"/>
      <c r="S89" s="367"/>
      <c r="T89" s="368"/>
      <c r="U89" s="359"/>
      <c r="V89" s="348"/>
    </row>
    <row r="90" spans="1:26" ht="89.25" customHeight="1" x14ac:dyDescent="0.2">
      <c r="A90" s="380"/>
      <c r="B90" s="376">
        <v>2</v>
      </c>
      <c r="C90" s="323" t="s">
        <v>0</v>
      </c>
      <c r="D90" s="321" t="s">
        <v>1</v>
      </c>
      <c r="E90" s="321" t="s">
        <v>38</v>
      </c>
      <c r="F90" s="107" t="s">
        <v>2</v>
      </c>
      <c r="G90" s="107" t="s">
        <v>44</v>
      </c>
      <c r="H90" s="321" t="s">
        <v>45</v>
      </c>
      <c r="I90" s="321" t="s">
        <v>46</v>
      </c>
      <c r="J90" s="107" t="s">
        <v>4</v>
      </c>
      <c r="K90" s="107" t="s">
        <v>40</v>
      </c>
      <c r="L90" s="107" t="s">
        <v>6</v>
      </c>
      <c r="M90" s="107" t="s">
        <v>42</v>
      </c>
      <c r="N90" s="107" t="s">
        <v>43</v>
      </c>
      <c r="O90" s="107" t="s">
        <v>36</v>
      </c>
      <c r="P90" s="107" t="s">
        <v>9</v>
      </c>
      <c r="Q90" s="107" t="s">
        <v>28</v>
      </c>
      <c r="R90" s="107" t="s">
        <v>33</v>
      </c>
      <c r="S90" s="107" t="s">
        <v>34</v>
      </c>
      <c r="T90" s="34" t="s">
        <v>73</v>
      </c>
      <c r="U90" s="358" t="s">
        <v>247</v>
      </c>
      <c r="V90" s="347">
        <f>Q92+Q102</f>
        <v>1060633.56</v>
      </c>
    </row>
    <row r="91" spans="1:26" ht="12.75" customHeight="1" x14ac:dyDescent="0.2">
      <c r="A91" s="380"/>
      <c r="B91" s="377"/>
      <c r="C91" s="383"/>
      <c r="D91" s="382"/>
      <c r="E91" s="382"/>
      <c r="F91" s="122" t="s">
        <v>39</v>
      </c>
      <c r="G91" s="122" t="s">
        <v>41</v>
      </c>
      <c r="H91" s="382"/>
      <c r="I91" s="382"/>
      <c r="J91" s="122" t="s">
        <v>5</v>
      </c>
      <c r="K91" s="122" t="s">
        <v>5</v>
      </c>
      <c r="L91" s="122" t="s">
        <v>7</v>
      </c>
      <c r="M91" s="122" t="s">
        <v>8</v>
      </c>
      <c r="N91" s="122" t="s">
        <v>7</v>
      </c>
      <c r="O91" s="122" t="s">
        <v>7</v>
      </c>
      <c r="P91" s="122" t="s">
        <v>7</v>
      </c>
      <c r="Q91" s="122" t="s">
        <v>7</v>
      </c>
      <c r="R91" s="122" t="s">
        <v>7</v>
      </c>
      <c r="S91" s="122" t="s">
        <v>7</v>
      </c>
      <c r="T91" s="33" t="s">
        <v>74</v>
      </c>
      <c r="U91" s="359"/>
      <c r="V91" s="348"/>
    </row>
    <row r="92" spans="1:26" ht="12.75" customHeight="1" x14ac:dyDescent="0.2">
      <c r="A92" s="380"/>
      <c r="B92" s="377"/>
      <c r="C92" s="316" t="s">
        <v>224</v>
      </c>
      <c r="D92" s="350">
        <v>154</v>
      </c>
      <c r="E92" s="350">
        <v>39</v>
      </c>
      <c r="F92" s="337" t="s">
        <v>214</v>
      </c>
      <c r="G92" s="337" t="s">
        <v>105</v>
      </c>
      <c r="H92" s="361" t="s">
        <v>30</v>
      </c>
      <c r="I92" s="19" t="s">
        <v>47</v>
      </c>
      <c r="J92" s="36">
        <v>245.61</v>
      </c>
      <c r="K92" s="337" t="s">
        <v>104</v>
      </c>
      <c r="L92" s="337">
        <f>PODLAGE!D26</f>
        <v>115259.99999999999</v>
      </c>
      <c r="M92" s="10">
        <f>PODLAGE!$D$6</f>
        <v>176</v>
      </c>
      <c r="N92" s="36">
        <f>J92*M92</f>
        <v>43227.360000000001</v>
      </c>
      <c r="O92" s="337">
        <f>PODLAGE!D17</f>
        <v>1130</v>
      </c>
      <c r="P92" s="367">
        <f>SUM(N92:N99)*1.1+O92+L92</f>
        <v>929553.56</v>
      </c>
      <c r="Q92" s="326">
        <f>SUM(P92)</f>
        <v>929553.56</v>
      </c>
      <c r="R92" s="367">
        <f>((D92*PODLAGE!$I$9*PODLAGE!$I$22)+(E92*PODLAGE!$J$22*12))*20</f>
        <v>205162.53120000003</v>
      </c>
      <c r="S92" s="367">
        <f>SUM(Q92:R99)</f>
        <v>1134716.0912000001</v>
      </c>
      <c r="T92" s="368">
        <f>S92/D92</f>
        <v>7368.2863064935073</v>
      </c>
      <c r="U92" s="359"/>
      <c r="V92" s="348"/>
    </row>
    <row r="93" spans="1:26" ht="12.75" customHeight="1" x14ac:dyDescent="0.2">
      <c r="A93" s="380"/>
      <c r="B93" s="377"/>
      <c r="C93" s="316"/>
      <c r="D93" s="350"/>
      <c r="E93" s="350"/>
      <c r="F93" s="337"/>
      <c r="G93" s="337"/>
      <c r="H93" s="361"/>
      <c r="I93" s="19" t="s">
        <v>48</v>
      </c>
      <c r="J93" s="36">
        <v>257.77999999999997</v>
      </c>
      <c r="K93" s="337"/>
      <c r="L93" s="337"/>
      <c r="M93" s="10">
        <f>PODLAGE!$D$7</f>
        <v>308</v>
      </c>
      <c r="N93" s="36">
        <f t="shared" ref="N93:N99" si="11">J93*M93</f>
        <v>79396.239999999991</v>
      </c>
      <c r="O93" s="337"/>
      <c r="P93" s="367"/>
      <c r="Q93" s="326"/>
      <c r="R93" s="367"/>
      <c r="S93" s="367"/>
      <c r="T93" s="368"/>
      <c r="U93" s="359"/>
      <c r="V93" s="348"/>
    </row>
    <row r="94" spans="1:26" ht="12.75" customHeight="1" x14ac:dyDescent="0.2">
      <c r="A94" s="380"/>
      <c r="B94" s="377"/>
      <c r="C94" s="316"/>
      <c r="D94" s="350"/>
      <c r="E94" s="350"/>
      <c r="F94" s="337"/>
      <c r="G94" s="337"/>
      <c r="H94" s="361"/>
      <c r="I94" s="19" t="s">
        <v>49</v>
      </c>
      <c r="J94" s="36">
        <v>1401.4</v>
      </c>
      <c r="K94" s="337"/>
      <c r="L94" s="337"/>
      <c r="M94" s="10">
        <f>PODLAGE!$D$8</f>
        <v>440</v>
      </c>
      <c r="N94" s="36">
        <f t="shared" si="11"/>
        <v>616616</v>
      </c>
      <c r="O94" s="337"/>
      <c r="P94" s="367"/>
      <c r="Q94" s="326"/>
      <c r="R94" s="367"/>
      <c r="S94" s="367"/>
      <c r="T94" s="368"/>
      <c r="U94" s="359"/>
      <c r="V94" s="348"/>
    </row>
    <row r="95" spans="1:26" ht="12.75" customHeight="1" x14ac:dyDescent="0.2">
      <c r="A95" s="380"/>
      <c r="B95" s="377"/>
      <c r="C95" s="316"/>
      <c r="D95" s="350"/>
      <c r="E95" s="350"/>
      <c r="F95" s="337"/>
      <c r="G95" s="337"/>
      <c r="H95" s="361" t="s">
        <v>29</v>
      </c>
      <c r="I95" s="19" t="s">
        <v>47</v>
      </c>
      <c r="J95" s="36">
        <v>0</v>
      </c>
      <c r="K95" s="337"/>
      <c r="L95" s="337"/>
      <c r="M95" s="10">
        <f>PODLAGE!$D$9</f>
        <v>112.99999999999999</v>
      </c>
      <c r="N95" s="36">
        <f t="shared" si="11"/>
        <v>0</v>
      </c>
      <c r="O95" s="337"/>
      <c r="P95" s="367"/>
      <c r="Q95" s="326"/>
      <c r="R95" s="367"/>
      <c r="S95" s="367"/>
      <c r="T95" s="368"/>
      <c r="U95" s="359"/>
      <c r="V95" s="348"/>
    </row>
    <row r="96" spans="1:26" ht="12.75" customHeight="1" x14ac:dyDescent="0.2">
      <c r="A96" s="380"/>
      <c r="B96" s="377"/>
      <c r="C96" s="316"/>
      <c r="D96" s="350"/>
      <c r="E96" s="350"/>
      <c r="F96" s="337"/>
      <c r="G96" s="337"/>
      <c r="H96" s="361"/>
      <c r="I96" s="19" t="s">
        <v>48</v>
      </c>
      <c r="J96" s="36">
        <v>0</v>
      </c>
      <c r="K96" s="337"/>
      <c r="L96" s="337"/>
      <c r="M96" s="10">
        <f>PODLAGE!$D$10</f>
        <v>197.74999999999997</v>
      </c>
      <c r="N96" s="36">
        <f t="shared" si="11"/>
        <v>0</v>
      </c>
      <c r="O96" s="337"/>
      <c r="P96" s="367"/>
      <c r="Q96" s="326"/>
      <c r="R96" s="367"/>
      <c r="S96" s="367"/>
      <c r="T96" s="368"/>
      <c r="U96" s="359"/>
      <c r="V96" s="348"/>
    </row>
    <row r="97" spans="1:25" ht="12.75" customHeight="1" x14ac:dyDescent="0.2">
      <c r="A97" s="380"/>
      <c r="B97" s="377"/>
      <c r="C97" s="316"/>
      <c r="D97" s="350"/>
      <c r="E97" s="350"/>
      <c r="F97" s="337"/>
      <c r="G97" s="337"/>
      <c r="H97" s="361"/>
      <c r="I97" s="19" t="s">
        <v>49</v>
      </c>
      <c r="J97" s="36">
        <v>0</v>
      </c>
      <c r="K97" s="337"/>
      <c r="L97" s="337"/>
      <c r="M97" s="10">
        <f>PODLAGE!$D$11</f>
        <v>282.5</v>
      </c>
      <c r="N97" s="36">
        <f t="shared" si="11"/>
        <v>0</v>
      </c>
      <c r="O97" s="337"/>
      <c r="P97" s="367"/>
      <c r="Q97" s="326"/>
      <c r="R97" s="367"/>
      <c r="S97" s="367"/>
      <c r="T97" s="368"/>
      <c r="U97" s="359"/>
      <c r="V97" s="348"/>
    </row>
    <row r="98" spans="1:25" ht="12.75" customHeight="1" x14ac:dyDescent="0.2">
      <c r="A98" s="380"/>
      <c r="B98" s="377"/>
      <c r="C98" s="316"/>
      <c r="D98" s="350"/>
      <c r="E98" s="350"/>
      <c r="F98" s="337"/>
      <c r="G98" s="337"/>
      <c r="H98" s="361" t="s">
        <v>114</v>
      </c>
      <c r="I98" s="19" t="s">
        <v>115</v>
      </c>
      <c r="J98" s="36">
        <v>0</v>
      </c>
      <c r="K98" s="337"/>
      <c r="L98" s="337"/>
      <c r="M98" s="10">
        <f>PODLAGE!$D$15</f>
        <v>225.99999999999997</v>
      </c>
      <c r="N98" s="36">
        <f t="shared" si="11"/>
        <v>0</v>
      </c>
      <c r="O98" s="337"/>
      <c r="P98" s="367"/>
      <c r="Q98" s="326"/>
      <c r="R98" s="367"/>
      <c r="S98" s="367"/>
      <c r="T98" s="368"/>
      <c r="U98" s="359"/>
      <c r="V98" s="348"/>
    </row>
    <row r="99" spans="1:25" ht="12.75" customHeight="1" x14ac:dyDescent="0.2">
      <c r="A99" s="380"/>
      <c r="B99" s="377"/>
      <c r="C99" s="316"/>
      <c r="D99" s="350"/>
      <c r="E99" s="350"/>
      <c r="F99" s="337"/>
      <c r="G99" s="337"/>
      <c r="H99" s="361"/>
      <c r="I99" s="19" t="s">
        <v>116</v>
      </c>
      <c r="J99" s="36">
        <v>0</v>
      </c>
      <c r="K99" s="337"/>
      <c r="L99" s="337"/>
      <c r="M99" s="10">
        <f>PODLAGE!$D$16</f>
        <v>338.99999999999994</v>
      </c>
      <c r="N99" s="36">
        <f t="shared" si="11"/>
        <v>0</v>
      </c>
      <c r="O99" s="337"/>
      <c r="P99" s="367"/>
      <c r="Q99" s="326"/>
      <c r="R99" s="367"/>
      <c r="S99" s="367"/>
      <c r="T99" s="368"/>
      <c r="U99" s="359"/>
      <c r="V99" s="348"/>
    </row>
    <row r="100" spans="1:25" ht="89.25" customHeight="1" x14ac:dyDescent="0.2">
      <c r="A100" s="380"/>
      <c r="B100" s="377"/>
      <c r="C100" s="383" t="s">
        <v>20</v>
      </c>
      <c r="D100" s="384" t="s">
        <v>31</v>
      </c>
      <c r="E100" s="382" t="s">
        <v>1</v>
      </c>
      <c r="F100" s="112" t="s">
        <v>10</v>
      </c>
      <c r="G100" s="112" t="s">
        <v>12</v>
      </c>
      <c r="H100" s="382" t="s">
        <v>14</v>
      </c>
      <c r="I100" s="382" t="s">
        <v>14</v>
      </c>
      <c r="J100" s="382" t="s">
        <v>14</v>
      </c>
      <c r="K100" s="382" t="s">
        <v>14</v>
      </c>
      <c r="L100" s="382" t="s">
        <v>14</v>
      </c>
      <c r="M100" s="382" t="s">
        <v>14</v>
      </c>
      <c r="N100" s="382" t="s">
        <v>14</v>
      </c>
      <c r="O100" s="112" t="s">
        <v>36</v>
      </c>
      <c r="P100" s="112" t="s">
        <v>15</v>
      </c>
      <c r="Q100" s="112" t="s">
        <v>28</v>
      </c>
      <c r="R100" s="112" t="s">
        <v>33</v>
      </c>
      <c r="S100" s="112" t="s">
        <v>34</v>
      </c>
      <c r="T100" s="80" t="s">
        <v>73</v>
      </c>
      <c r="U100" s="359"/>
      <c r="V100" s="348"/>
    </row>
    <row r="101" spans="1:25" ht="12.75" customHeight="1" x14ac:dyDescent="0.2">
      <c r="A101" s="380"/>
      <c r="B101" s="377"/>
      <c r="C101" s="345"/>
      <c r="D101" s="385"/>
      <c r="E101" s="346"/>
      <c r="F101" s="122" t="s">
        <v>11</v>
      </c>
      <c r="G101" s="122" t="s">
        <v>13</v>
      </c>
      <c r="H101" s="346"/>
      <c r="I101" s="346"/>
      <c r="J101" s="346"/>
      <c r="K101" s="346"/>
      <c r="L101" s="346"/>
      <c r="M101" s="346"/>
      <c r="N101" s="346"/>
      <c r="O101" s="122" t="s">
        <v>7</v>
      </c>
      <c r="P101" s="122" t="s">
        <v>7</v>
      </c>
      <c r="Q101" s="122" t="s">
        <v>7</v>
      </c>
      <c r="R101" s="122" t="s">
        <v>7</v>
      </c>
      <c r="S101" s="122" t="s">
        <v>7</v>
      </c>
      <c r="T101" s="33" t="s">
        <v>74</v>
      </c>
      <c r="U101" s="359"/>
      <c r="V101" s="348"/>
    </row>
    <row r="102" spans="1:25" ht="12.75" customHeight="1" x14ac:dyDescent="0.2">
      <c r="A102" s="380"/>
      <c r="B102" s="377"/>
      <c r="C102" s="316" t="s">
        <v>215</v>
      </c>
      <c r="D102" s="4" t="s">
        <v>16</v>
      </c>
      <c r="E102" s="7">
        <v>62</v>
      </c>
      <c r="F102" s="7">
        <v>25</v>
      </c>
      <c r="G102" s="5">
        <f>PODLAGE!$E$37</f>
        <v>4294</v>
      </c>
      <c r="H102" s="113" t="s">
        <v>14</v>
      </c>
      <c r="I102" s="113" t="s">
        <v>14</v>
      </c>
      <c r="J102" s="113" t="s">
        <v>14</v>
      </c>
      <c r="K102" s="113" t="s">
        <v>14</v>
      </c>
      <c r="L102" s="113" t="s">
        <v>14</v>
      </c>
      <c r="M102" s="113" t="s">
        <v>14</v>
      </c>
      <c r="N102" s="113" t="s">
        <v>14</v>
      </c>
      <c r="O102" s="370">
        <v>0</v>
      </c>
      <c r="P102" s="77">
        <f>F102*G102</f>
        <v>107350</v>
      </c>
      <c r="Q102" s="372">
        <f>SUM(O102:P103)</f>
        <v>131080</v>
      </c>
      <c r="R102" s="10">
        <f>F102*PODLAGE!$K$25</f>
        <v>232003.125</v>
      </c>
      <c r="S102" s="372">
        <f>SUM(Q102:R103)</f>
        <v>407627.72499999998</v>
      </c>
      <c r="T102" s="374">
        <f>S102/(E102+E103)</f>
        <v>5032.4410493827154</v>
      </c>
      <c r="U102" s="359"/>
      <c r="V102" s="348"/>
    </row>
    <row r="103" spans="1:25" ht="13.5" customHeight="1" thickBot="1" x14ac:dyDescent="0.25">
      <c r="A103" s="380"/>
      <c r="B103" s="378"/>
      <c r="C103" s="317"/>
      <c r="D103" s="25" t="s">
        <v>17</v>
      </c>
      <c r="E103" s="28">
        <v>19</v>
      </c>
      <c r="F103" s="7">
        <v>3</v>
      </c>
      <c r="G103" s="26">
        <f>PODLAGE!$E$38</f>
        <v>7909.9999999999991</v>
      </c>
      <c r="H103" s="114" t="s">
        <v>14</v>
      </c>
      <c r="I103" s="114" t="s">
        <v>14</v>
      </c>
      <c r="J103" s="114" t="s">
        <v>14</v>
      </c>
      <c r="K103" s="114" t="s">
        <v>14</v>
      </c>
      <c r="L103" s="114" t="s">
        <v>14</v>
      </c>
      <c r="M103" s="114" t="s">
        <v>14</v>
      </c>
      <c r="N103" s="114" t="s">
        <v>14</v>
      </c>
      <c r="O103" s="398"/>
      <c r="P103" s="74">
        <f>F103*G103</f>
        <v>23729.999999999996</v>
      </c>
      <c r="Q103" s="399"/>
      <c r="R103" s="72">
        <f>F103*PODLAGE!$K$26</f>
        <v>44544.599999999991</v>
      </c>
      <c r="S103" s="399"/>
      <c r="T103" s="400"/>
      <c r="U103" s="360"/>
      <c r="V103" s="349"/>
      <c r="Y103" s="9"/>
    </row>
    <row r="104" spans="1:25" ht="89.25" customHeight="1" x14ac:dyDescent="0.2">
      <c r="A104" s="380"/>
      <c r="B104" s="376">
        <v>3</v>
      </c>
      <c r="C104" s="344" t="s">
        <v>20</v>
      </c>
      <c r="D104" s="393" t="s">
        <v>31</v>
      </c>
      <c r="E104" s="331" t="s">
        <v>1</v>
      </c>
      <c r="F104" s="107" t="s">
        <v>10</v>
      </c>
      <c r="G104" s="107" t="s">
        <v>12</v>
      </c>
      <c r="H104" s="331" t="s">
        <v>14</v>
      </c>
      <c r="I104" s="331" t="s">
        <v>14</v>
      </c>
      <c r="J104" s="331" t="s">
        <v>14</v>
      </c>
      <c r="K104" s="331" t="s">
        <v>14</v>
      </c>
      <c r="L104" s="331" t="s">
        <v>14</v>
      </c>
      <c r="M104" s="331" t="s">
        <v>14</v>
      </c>
      <c r="N104" s="331" t="s">
        <v>14</v>
      </c>
      <c r="O104" s="107" t="s">
        <v>36</v>
      </c>
      <c r="P104" s="107" t="s">
        <v>15</v>
      </c>
      <c r="Q104" s="107" t="s">
        <v>28</v>
      </c>
      <c r="R104" s="107" t="s">
        <v>33</v>
      </c>
      <c r="S104" s="107" t="s">
        <v>34</v>
      </c>
      <c r="T104" s="34" t="s">
        <v>73</v>
      </c>
      <c r="U104" s="358" t="s">
        <v>212</v>
      </c>
      <c r="V104" s="347">
        <f>Q106</f>
        <v>344198</v>
      </c>
      <c r="W104" s="362" t="s">
        <v>206</v>
      </c>
    </row>
    <row r="105" spans="1:25" ht="12.75" customHeight="1" x14ac:dyDescent="0.2">
      <c r="A105" s="380"/>
      <c r="B105" s="377"/>
      <c r="C105" s="345"/>
      <c r="D105" s="385"/>
      <c r="E105" s="346"/>
      <c r="F105" s="122" t="s">
        <v>11</v>
      </c>
      <c r="G105" s="122" t="s">
        <v>13</v>
      </c>
      <c r="H105" s="346"/>
      <c r="I105" s="346"/>
      <c r="J105" s="346"/>
      <c r="K105" s="346"/>
      <c r="L105" s="346"/>
      <c r="M105" s="346"/>
      <c r="N105" s="346"/>
      <c r="O105" s="122" t="s">
        <v>7</v>
      </c>
      <c r="P105" s="122" t="s">
        <v>7</v>
      </c>
      <c r="Q105" s="122" t="s">
        <v>7</v>
      </c>
      <c r="R105" s="122" t="s">
        <v>7</v>
      </c>
      <c r="S105" s="122" t="s">
        <v>7</v>
      </c>
      <c r="T105" s="33" t="s">
        <v>74</v>
      </c>
      <c r="U105" s="359"/>
      <c r="V105" s="348"/>
      <c r="W105" s="363"/>
    </row>
    <row r="106" spans="1:25" ht="12.75" customHeight="1" x14ac:dyDescent="0.2">
      <c r="A106" s="380"/>
      <c r="B106" s="377"/>
      <c r="C106" s="316" t="s">
        <v>215</v>
      </c>
      <c r="D106" s="4" t="s">
        <v>16</v>
      </c>
      <c r="E106" s="7">
        <v>149</v>
      </c>
      <c r="F106" s="7">
        <v>57</v>
      </c>
      <c r="G106" s="5">
        <f>PODLAGE!$E$37</f>
        <v>4294</v>
      </c>
      <c r="H106" s="113" t="s">
        <v>14</v>
      </c>
      <c r="I106" s="113" t="s">
        <v>14</v>
      </c>
      <c r="J106" s="113" t="s">
        <v>14</v>
      </c>
      <c r="K106" s="113" t="s">
        <v>14</v>
      </c>
      <c r="L106" s="113" t="s">
        <v>14</v>
      </c>
      <c r="M106" s="113" t="s">
        <v>14</v>
      </c>
      <c r="N106" s="113" t="s">
        <v>14</v>
      </c>
      <c r="O106" s="370">
        <v>0</v>
      </c>
      <c r="P106" s="77">
        <f>F106*G106</f>
        <v>244758</v>
      </c>
      <c r="Q106" s="372">
        <f>SUM(O106:P108)</f>
        <v>344198</v>
      </c>
      <c r="R106" s="10">
        <f>F106*PODLAGE!$K$25</f>
        <v>528967.125</v>
      </c>
      <c r="S106" s="372">
        <f>SUM(Q106:R108)</f>
        <v>1048373.885</v>
      </c>
      <c r="T106" s="374">
        <f>S106/(E106+E107+E108)</f>
        <v>4461.1654680851061</v>
      </c>
      <c r="U106" s="359"/>
      <c r="V106" s="348"/>
      <c r="W106" s="363"/>
    </row>
    <row r="107" spans="1:25" ht="12.75" customHeight="1" x14ac:dyDescent="0.2">
      <c r="A107" s="380"/>
      <c r="B107" s="377"/>
      <c r="C107" s="386"/>
      <c r="D107" s="4" t="s">
        <v>17</v>
      </c>
      <c r="E107" s="7">
        <v>47</v>
      </c>
      <c r="F107" s="7">
        <v>7</v>
      </c>
      <c r="G107" s="5">
        <f>PODLAGE!$E$38</f>
        <v>7909.9999999999991</v>
      </c>
      <c r="H107" s="140"/>
      <c r="I107" s="140"/>
      <c r="J107" s="140"/>
      <c r="K107" s="140"/>
      <c r="L107" s="140"/>
      <c r="M107" s="140"/>
      <c r="N107" s="140"/>
      <c r="O107" s="371"/>
      <c r="P107" s="77">
        <f t="shared" ref="P107:P108" si="12">F107*G107</f>
        <v>55369.999999999993</v>
      </c>
      <c r="Q107" s="373"/>
      <c r="R107" s="10">
        <f>F107*PODLAGE!$K$26</f>
        <v>103937.39999999998</v>
      </c>
      <c r="S107" s="373"/>
      <c r="T107" s="375"/>
      <c r="U107" s="359"/>
      <c r="V107" s="348"/>
      <c r="W107" s="363"/>
    </row>
    <row r="108" spans="1:25" ht="13.5" customHeight="1" thickBot="1" x14ac:dyDescent="0.25">
      <c r="A108" s="381"/>
      <c r="B108" s="378"/>
      <c r="C108" s="317"/>
      <c r="D108" s="25" t="s">
        <v>18</v>
      </c>
      <c r="E108" s="28">
        <v>39</v>
      </c>
      <c r="F108" s="28">
        <v>3</v>
      </c>
      <c r="G108" s="26">
        <f>PODLAGE!$E$39</f>
        <v>14689.999999999998</v>
      </c>
      <c r="H108" s="114" t="s">
        <v>14</v>
      </c>
      <c r="I108" s="114" t="s">
        <v>14</v>
      </c>
      <c r="J108" s="114" t="s">
        <v>14</v>
      </c>
      <c r="K108" s="114" t="s">
        <v>14</v>
      </c>
      <c r="L108" s="114" t="s">
        <v>14</v>
      </c>
      <c r="M108" s="114" t="s">
        <v>14</v>
      </c>
      <c r="N108" s="114" t="s">
        <v>14</v>
      </c>
      <c r="O108" s="398"/>
      <c r="P108" s="74">
        <f t="shared" si="12"/>
        <v>44069.999999999993</v>
      </c>
      <c r="Q108" s="399"/>
      <c r="R108" s="72">
        <f>F108*PODLAGE!$K$27</f>
        <v>71271.359999999986</v>
      </c>
      <c r="S108" s="399"/>
      <c r="T108" s="400"/>
      <c r="U108" s="360"/>
      <c r="V108" s="349"/>
      <c r="W108" s="364"/>
    </row>
    <row r="109" spans="1:25" ht="89.25" customHeight="1" x14ac:dyDescent="0.2">
      <c r="A109" s="392" t="s">
        <v>183</v>
      </c>
      <c r="B109" s="376">
        <v>1</v>
      </c>
      <c r="C109" s="344" t="s">
        <v>0</v>
      </c>
      <c r="D109" s="331" t="s">
        <v>1</v>
      </c>
      <c r="E109" s="331" t="s">
        <v>38</v>
      </c>
      <c r="F109" s="107" t="s">
        <v>2</v>
      </c>
      <c r="G109" s="107" t="s">
        <v>44</v>
      </c>
      <c r="H109" s="331" t="s">
        <v>45</v>
      </c>
      <c r="I109" s="331" t="s">
        <v>46</v>
      </c>
      <c r="J109" s="107" t="s">
        <v>4</v>
      </c>
      <c r="K109" s="107" t="s">
        <v>40</v>
      </c>
      <c r="L109" s="107" t="s">
        <v>6</v>
      </c>
      <c r="M109" s="107" t="s">
        <v>42</v>
      </c>
      <c r="N109" s="107" t="s">
        <v>43</v>
      </c>
      <c r="O109" s="107" t="s">
        <v>36</v>
      </c>
      <c r="P109" s="107" t="s">
        <v>9</v>
      </c>
      <c r="Q109" s="107" t="s">
        <v>28</v>
      </c>
      <c r="R109" s="107" t="s">
        <v>33</v>
      </c>
      <c r="S109" s="107" t="s">
        <v>34</v>
      </c>
      <c r="T109" s="34" t="s">
        <v>73</v>
      </c>
      <c r="U109" s="358" t="s">
        <v>249</v>
      </c>
      <c r="V109" s="347">
        <f>Q111</f>
        <v>1263827.8034999999</v>
      </c>
    </row>
    <row r="110" spans="1:25" ht="12.75" customHeight="1" x14ac:dyDescent="0.2">
      <c r="A110" s="380"/>
      <c r="B110" s="377"/>
      <c r="C110" s="345"/>
      <c r="D110" s="346"/>
      <c r="E110" s="346"/>
      <c r="F110" s="122" t="s">
        <v>39</v>
      </c>
      <c r="G110" s="122" t="s">
        <v>41</v>
      </c>
      <c r="H110" s="346"/>
      <c r="I110" s="346"/>
      <c r="J110" s="122" t="s">
        <v>5</v>
      </c>
      <c r="K110" s="122" t="s">
        <v>5</v>
      </c>
      <c r="L110" s="122" t="s">
        <v>7</v>
      </c>
      <c r="M110" s="122" t="s">
        <v>8</v>
      </c>
      <c r="N110" s="122" t="s">
        <v>7</v>
      </c>
      <c r="O110" s="122" t="s">
        <v>7</v>
      </c>
      <c r="P110" s="122" t="s">
        <v>7</v>
      </c>
      <c r="Q110" s="122" t="s">
        <v>7</v>
      </c>
      <c r="R110" s="122" t="s">
        <v>7</v>
      </c>
      <c r="S110" s="122" t="s">
        <v>7</v>
      </c>
      <c r="T110" s="33" t="s">
        <v>74</v>
      </c>
      <c r="U110" s="359"/>
      <c r="V110" s="348"/>
    </row>
    <row r="111" spans="1:25" ht="12.75" customHeight="1" x14ac:dyDescent="0.2">
      <c r="A111" s="380"/>
      <c r="B111" s="377"/>
      <c r="C111" s="316" t="s">
        <v>217</v>
      </c>
      <c r="D111" s="350">
        <v>144</v>
      </c>
      <c r="E111" s="350">
        <v>45</v>
      </c>
      <c r="F111" s="337" t="s">
        <v>214</v>
      </c>
      <c r="G111" s="337" t="s">
        <v>233</v>
      </c>
      <c r="H111" s="361" t="s">
        <v>30</v>
      </c>
      <c r="I111" s="19" t="s">
        <v>47</v>
      </c>
      <c r="J111" s="36">
        <v>743.16</v>
      </c>
      <c r="K111" s="337" t="s">
        <v>104</v>
      </c>
      <c r="L111" s="337">
        <f>PODLAGE!D26</f>
        <v>115259.99999999999</v>
      </c>
      <c r="M111" s="10">
        <f>PODLAGE!$D$6</f>
        <v>176</v>
      </c>
      <c r="N111" s="36">
        <f>J111*M111</f>
        <v>130796.15999999999</v>
      </c>
      <c r="O111" s="337">
        <f>((PODLAGE!$D$13)*1)+PODLAGE!D17</f>
        <v>142380</v>
      </c>
      <c r="P111" s="367">
        <f>SUM(N111:N118)*1.1+O111+L111</f>
        <v>1263827.8034999999</v>
      </c>
      <c r="Q111" s="367">
        <f>SUM(P111)</f>
        <v>1263827.8034999999</v>
      </c>
      <c r="R111" s="367">
        <f>((D111*PODLAGE!$I$9*PODLAGE!$I$22)+(E111*PODLAGE!$J$22*12))*20</f>
        <v>195554.77919999999</v>
      </c>
      <c r="S111" s="367">
        <f>SUM(Q111:R118)</f>
        <v>1459382.5826999999</v>
      </c>
      <c r="T111" s="368">
        <f>S111/D111</f>
        <v>10134.601268749999</v>
      </c>
      <c r="U111" s="359"/>
      <c r="V111" s="348"/>
    </row>
    <row r="112" spans="1:25" ht="12.75" customHeight="1" x14ac:dyDescent="0.2">
      <c r="A112" s="380"/>
      <c r="B112" s="377"/>
      <c r="C112" s="316"/>
      <c r="D112" s="350"/>
      <c r="E112" s="350"/>
      <c r="F112" s="337"/>
      <c r="G112" s="337"/>
      <c r="H112" s="361"/>
      <c r="I112" s="19" t="s">
        <v>48</v>
      </c>
      <c r="J112" s="36">
        <v>220.6</v>
      </c>
      <c r="K112" s="337"/>
      <c r="L112" s="337"/>
      <c r="M112" s="10">
        <f>PODLAGE!$D$7</f>
        <v>308</v>
      </c>
      <c r="N112" s="36">
        <f t="shared" ref="N112:N118" si="13">J112*M112</f>
        <v>67944.800000000003</v>
      </c>
      <c r="O112" s="337"/>
      <c r="P112" s="367"/>
      <c r="Q112" s="367"/>
      <c r="R112" s="367"/>
      <c r="S112" s="367"/>
      <c r="T112" s="368"/>
      <c r="U112" s="359"/>
      <c r="V112" s="348"/>
    </row>
    <row r="113" spans="1:26" ht="12.75" customHeight="1" x14ac:dyDescent="0.2">
      <c r="A113" s="380"/>
      <c r="B113" s="377"/>
      <c r="C113" s="316"/>
      <c r="D113" s="350"/>
      <c r="E113" s="350"/>
      <c r="F113" s="337"/>
      <c r="G113" s="337"/>
      <c r="H113" s="361"/>
      <c r="I113" s="19" t="s">
        <v>49</v>
      </c>
      <c r="J113" s="36">
        <v>1501.78</v>
      </c>
      <c r="K113" s="337"/>
      <c r="L113" s="337"/>
      <c r="M113" s="10">
        <f>PODLAGE!$D$8</f>
        <v>440</v>
      </c>
      <c r="N113" s="36">
        <f t="shared" si="13"/>
        <v>660783.19999999995</v>
      </c>
      <c r="O113" s="337"/>
      <c r="P113" s="367"/>
      <c r="Q113" s="367"/>
      <c r="R113" s="367"/>
      <c r="S113" s="367"/>
      <c r="T113" s="368"/>
      <c r="U113" s="359"/>
      <c r="V113" s="348"/>
      <c r="Z113" s="9"/>
    </row>
    <row r="114" spans="1:26" ht="12.75" customHeight="1" x14ac:dyDescent="0.2">
      <c r="A114" s="380"/>
      <c r="B114" s="377"/>
      <c r="C114" s="316"/>
      <c r="D114" s="350"/>
      <c r="E114" s="350"/>
      <c r="F114" s="337"/>
      <c r="G114" s="337"/>
      <c r="H114" s="361" t="s">
        <v>29</v>
      </c>
      <c r="I114" s="19" t="s">
        <v>47</v>
      </c>
      <c r="J114" s="36">
        <v>0</v>
      </c>
      <c r="K114" s="337"/>
      <c r="L114" s="337"/>
      <c r="M114" s="10">
        <f>PODLAGE!$D$9</f>
        <v>112.99999999999999</v>
      </c>
      <c r="N114" s="36">
        <f t="shared" si="13"/>
        <v>0</v>
      </c>
      <c r="O114" s="337"/>
      <c r="P114" s="367"/>
      <c r="Q114" s="367"/>
      <c r="R114" s="367"/>
      <c r="S114" s="367"/>
      <c r="T114" s="368"/>
      <c r="U114" s="359"/>
      <c r="V114" s="348"/>
    </row>
    <row r="115" spans="1:26" ht="12.75" customHeight="1" x14ac:dyDescent="0.2">
      <c r="A115" s="380"/>
      <c r="B115" s="377"/>
      <c r="C115" s="316"/>
      <c r="D115" s="350"/>
      <c r="E115" s="350"/>
      <c r="F115" s="337"/>
      <c r="G115" s="337"/>
      <c r="H115" s="361"/>
      <c r="I115" s="19" t="s">
        <v>48</v>
      </c>
      <c r="J115" s="36">
        <v>0</v>
      </c>
      <c r="K115" s="337"/>
      <c r="L115" s="337"/>
      <c r="M115" s="10">
        <f>PODLAGE!$D$10</f>
        <v>197.74999999999997</v>
      </c>
      <c r="N115" s="36">
        <f t="shared" si="13"/>
        <v>0</v>
      </c>
      <c r="O115" s="337"/>
      <c r="P115" s="367"/>
      <c r="Q115" s="367"/>
      <c r="R115" s="367"/>
      <c r="S115" s="367"/>
      <c r="T115" s="368"/>
      <c r="U115" s="359"/>
      <c r="V115" s="348"/>
    </row>
    <row r="116" spans="1:26" ht="12.75" customHeight="1" x14ac:dyDescent="0.2">
      <c r="A116" s="380"/>
      <c r="B116" s="377"/>
      <c r="C116" s="316"/>
      <c r="D116" s="350"/>
      <c r="E116" s="350"/>
      <c r="F116" s="337"/>
      <c r="G116" s="337"/>
      <c r="H116" s="361"/>
      <c r="I116" s="19" t="s">
        <v>49</v>
      </c>
      <c r="J116" s="36">
        <v>195.37</v>
      </c>
      <c r="K116" s="337"/>
      <c r="L116" s="337"/>
      <c r="M116" s="10">
        <f>PODLAGE!$D$11</f>
        <v>282.5</v>
      </c>
      <c r="N116" s="36">
        <f t="shared" si="13"/>
        <v>55192.025000000001</v>
      </c>
      <c r="O116" s="337"/>
      <c r="P116" s="367"/>
      <c r="Q116" s="367"/>
      <c r="R116" s="367"/>
      <c r="S116" s="367"/>
      <c r="T116" s="368"/>
      <c r="U116" s="359"/>
      <c r="V116" s="348"/>
    </row>
    <row r="117" spans="1:26" ht="12.75" customHeight="1" x14ac:dyDescent="0.2">
      <c r="A117" s="380"/>
      <c r="B117" s="377"/>
      <c r="C117" s="316"/>
      <c r="D117" s="350"/>
      <c r="E117" s="350"/>
      <c r="F117" s="337"/>
      <c r="G117" s="337"/>
      <c r="H117" s="361" t="s">
        <v>114</v>
      </c>
      <c r="I117" s="19" t="s">
        <v>115</v>
      </c>
      <c r="J117" s="36">
        <v>0</v>
      </c>
      <c r="K117" s="337"/>
      <c r="L117" s="337"/>
      <c r="M117" s="10">
        <f>PODLAGE!$D$15</f>
        <v>225.99999999999997</v>
      </c>
      <c r="N117" s="36">
        <f t="shared" si="13"/>
        <v>0</v>
      </c>
      <c r="O117" s="337"/>
      <c r="P117" s="367"/>
      <c r="Q117" s="367"/>
      <c r="R117" s="367"/>
      <c r="S117" s="367"/>
      <c r="T117" s="368"/>
      <c r="U117" s="359"/>
      <c r="V117" s="348"/>
    </row>
    <row r="118" spans="1:26" ht="12.75" customHeight="1" thickBot="1" x14ac:dyDescent="0.25">
      <c r="A118" s="380"/>
      <c r="B118" s="377"/>
      <c r="C118" s="316"/>
      <c r="D118" s="350"/>
      <c r="E118" s="350"/>
      <c r="F118" s="337"/>
      <c r="G118" s="337"/>
      <c r="H118" s="361"/>
      <c r="I118" s="19" t="s">
        <v>116</v>
      </c>
      <c r="J118" s="36">
        <v>0</v>
      </c>
      <c r="K118" s="337"/>
      <c r="L118" s="337"/>
      <c r="M118" s="10">
        <f>PODLAGE!$D$16</f>
        <v>338.99999999999994</v>
      </c>
      <c r="N118" s="36">
        <f t="shared" si="13"/>
        <v>0</v>
      </c>
      <c r="O118" s="337"/>
      <c r="P118" s="367"/>
      <c r="Q118" s="367"/>
      <c r="R118" s="367"/>
      <c r="S118" s="367"/>
      <c r="T118" s="368"/>
      <c r="U118" s="359"/>
      <c r="V118" s="348"/>
    </row>
    <row r="119" spans="1:26" ht="89.25" customHeight="1" x14ac:dyDescent="0.2">
      <c r="A119" s="380"/>
      <c r="B119" s="376">
        <v>2</v>
      </c>
      <c r="C119" s="323" t="s">
        <v>0</v>
      </c>
      <c r="D119" s="321" t="s">
        <v>1</v>
      </c>
      <c r="E119" s="321" t="s">
        <v>38</v>
      </c>
      <c r="F119" s="107" t="s">
        <v>2</v>
      </c>
      <c r="G119" s="107" t="s">
        <v>44</v>
      </c>
      <c r="H119" s="321" t="s">
        <v>45</v>
      </c>
      <c r="I119" s="321" t="s">
        <v>46</v>
      </c>
      <c r="J119" s="107" t="s">
        <v>4</v>
      </c>
      <c r="K119" s="107" t="s">
        <v>40</v>
      </c>
      <c r="L119" s="107" t="s">
        <v>6</v>
      </c>
      <c r="M119" s="107" t="s">
        <v>42</v>
      </c>
      <c r="N119" s="107" t="s">
        <v>43</v>
      </c>
      <c r="O119" s="107" t="s">
        <v>36</v>
      </c>
      <c r="P119" s="107" t="s">
        <v>9</v>
      </c>
      <c r="Q119" s="107" t="s">
        <v>28</v>
      </c>
      <c r="R119" s="107" t="s">
        <v>33</v>
      </c>
      <c r="S119" s="107" t="s">
        <v>34</v>
      </c>
      <c r="T119" s="34" t="s">
        <v>73</v>
      </c>
      <c r="U119" s="358" t="s">
        <v>248</v>
      </c>
      <c r="V119" s="347">
        <f>Q121+Q131</f>
        <v>744263.54200000013</v>
      </c>
    </row>
    <row r="120" spans="1:26" ht="12.75" customHeight="1" x14ac:dyDescent="0.2">
      <c r="A120" s="380"/>
      <c r="B120" s="377"/>
      <c r="C120" s="383"/>
      <c r="D120" s="382"/>
      <c r="E120" s="382"/>
      <c r="F120" s="122" t="s">
        <v>39</v>
      </c>
      <c r="G120" s="122" t="s">
        <v>41</v>
      </c>
      <c r="H120" s="382"/>
      <c r="I120" s="382"/>
      <c r="J120" s="122" t="s">
        <v>5</v>
      </c>
      <c r="K120" s="122" t="s">
        <v>5</v>
      </c>
      <c r="L120" s="122" t="s">
        <v>7</v>
      </c>
      <c r="M120" s="122" t="s">
        <v>8</v>
      </c>
      <c r="N120" s="122" t="s">
        <v>7</v>
      </c>
      <c r="O120" s="122" t="s">
        <v>7</v>
      </c>
      <c r="P120" s="122" t="s">
        <v>7</v>
      </c>
      <c r="Q120" s="122" t="s">
        <v>7</v>
      </c>
      <c r="R120" s="122" t="s">
        <v>7</v>
      </c>
      <c r="S120" s="122" t="s">
        <v>7</v>
      </c>
      <c r="T120" s="33" t="s">
        <v>74</v>
      </c>
      <c r="U120" s="359"/>
      <c r="V120" s="348"/>
    </row>
    <row r="121" spans="1:26" ht="12.75" customHeight="1" x14ac:dyDescent="0.2">
      <c r="A121" s="380"/>
      <c r="B121" s="377"/>
      <c r="C121" s="316" t="s">
        <v>218</v>
      </c>
      <c r="D121" s="350">
        <v>91</v>
      </c>
      <c r="E121" s="350">
        <v>27</v>
      </c>
      <c r="F121" s="337" t="s">
        <v>221</v>
      </c>
      <c r="G121" s="337" t="s">
        <v>233</v>
      </c>
      <c r="H121" s="361" t="s">
        <v>30</v>
      </c>
      <c r="I121" s="19" t="s">
        <v>47</v>
      </c>
      <c r="J121" s="36">
        <v>176.47</v>
      </c>
      <c r="K121" s="337" t="s">
        <v>104</v>
      </c>
      <c r="L121" s="337">
        <f>PODLAGE!D25</f>
        <v>86444.999999999985</v>
      </c>
      <c r="M121" s="10">
        <f>PODLAGE!$D$6</f>
        <v>176</v>
      </c>
      <c r="N121" s="36">
        <f>J121*M121</f>
        <v>31058.720000000001</v>
      </c>
      <c r="O121" s="337">
        <f>((PODLAGE!$D$13)*1)+PODLAGE!D17</f>
        <v>142380</v>
      </c>
      <c r="P121" s="367">
        <f>SUM(N121:N128)*1.1+O121+L121</f>
        <v>656123.54200000013</v>
      </c>
      <c r="Q121" s="326">
        <f>SUM(P121)</f>
        <v>656123.54200000013</v>
      </c>
      <c r="R121" s="367">
        <f>((D121*PODLAGE!$I$9*PODLAGE!$I$22)+(E121*PODLAGE!$J$22*12))*20</f>
        <v>122953.96079999999</v>
      </c>
      <c r="S121" s="367">
        <f>SUM(Q121:R128)</f>
        <v>779077.50280000013</v>
      </c>
      <c r="T121" s="368">
        <f>S121/D121</f>
        <v>8561.2912395604417</v>
      </c>
      <c r="U121" s="359"/>
      <c r="V121" s="348"/>
    </row>
    <row r="122" spans="1:26" ht="12.75" customHeight="1" x14ac:dyDescent="0.2">
      <c r="A122" s="380"/>
      <c r="B122" s="377"/>
      <c r="C122" s="316"/>
      <c r="D122" s="350"/>
      <c r="E122" s="350"/>
      <c r="F122" s="337"/>
      <c r="G122" s="337"/>
      <c r="H122" s="361"/>
      <c r="I122" s="19" t="s">
        <v>48</v>
      </c>
      <c r="J122" s="36">
        <v>0</v>
      </c>
      <c r="K122" s="337"/>
      <c r="L122" s="337"/>
      <c r="M122" s="10">
        <f>PODLAGE!$D$7</f>
        <v>308</v>
      </c>
      <c r="N122" s="36">
        <f t="shared" ref="N122:N128" si="14">J122*M122</f>
        <v>0</v>
      </c>
      <c r="O122" s="337"/>
      <c r="P122" s="367"/>
      <c r="Q122" s="326"/>
      <c r="R122" s="367"/>
      <c r="S122" s="367"/>
      <c r="T122" s="368"/>
      <c r="U122" s="359"/>
      <c r="V122" s="348"/>
    </row>
    <row r="123" spans="1:26" ht="12.75" customHeight="1" x14ac:dyDescent="0.2">
      <c r="A123" s="380"/>
      <c r="B123" s="377"/>
      <c r="C123" s="316"/>
      <c r="D123" s="350"/>
      <c r="E123" s="350"/>
      <c r="F123" s="337"/>
      <c r="G123" s="337"/>
      <c r="H123" s="361"/>
      <c r="I123" s="19" t="s">
        <v>49</v>
      </c>
      <c r="J123" s="36">
        <v>627.12</v>
      </c>
      <c r="K123" s="337"/>
      <c r="L123" s="337"/>
      <c r="M123" s="10">
        <f>PODLAGE!$D$8</f>
        <v>440</v>
      </c>
      <c r="N123" s="36">
        <f t="shared" si="14"/>
        <v>275932.79999999999</v>
      </c>
      <c r="O123" s="337"/>
      <c r="P123" s="367"/>
      <c r="Q123" s="326"/>
      <c r="R123" s="367"/>
      <c r="S123" s="367"/>
      <c r="T123" s="368"/>
      <c r="U123" s="359"/>
      <c r="V123" s="348"/>
    </row>
    <row r="124" spans="1:26" ht="12.75" customHeight="1" x14ac:dyDescent="0.2">
      <c r="A124" s="380"/>
      <c r="B124" s="377"/>
      <c r="C124" s="316"/>
      <c r="D124" s="350"/>
      <c r="E124" s="350"/>
      <c r="F124" s="337"/>
      <c r="G124" s="337"/>
      <c r="H124" s="361" t="s">
        <v>29</v>
      </c>
      <c r="I124" s="19" t="s">
        <v>47</v>
      </c>
      <c r="J124" s="36">
        <v>0</v>
      </c>
      <c r="K124" s="337"/>
      <c r="L124" s="337"/>
      <c r="M124" s="10">
        <f>PODLAGE!$D$9</f>
        <v>112.99999999999999</v>
      </c>
      <c r="N124" s="36">
        <f t="shared" si="14"/>
        <v>0</v>
      </c>
      <c r="O124" s="337"/>
      <c r="P124" s="367"/>
      <c r="Q124" s="326"/>
      <c r="R124" s="367"/>
      <c r="S124" s="367"/>
      <c r="T124" s="368"/>
      <c r="U124" s="359"/>
      <c r="V124" s="348"/>
    </row>
    <row r="125" spans="1:26" ht="12.75" customHeight="1" x14ac:dyDescent="0.2">
      <c r="A125" s="380"/>
      <c r="B125" s="377"/>
      <c r="C125" s="316"/>
      <c r="D125" s="350"/>
      <c r="E125" s="350"/>
      <c r="F125" s="337"/>
      <c r="G125" s="337"/>
      <c r="H125" s="361"/>
      <c r="I125" s="19" t="s">
        <v>48</v>
      </c>
      <c r="J125" s="36">
        <v>0</v>
      </c>
      <c r="K125" s="337"/>
      <c r="L125" s="337"/>
      <c r="M125" s="10">
        <f>PODLAGE!$D$10</f>
        <v>197.74999999999997</v>
      </c>
      <c r="N125" s="36">
        <f t="shared" si="14"/>
        <v>0</v>
      </c>
      <c r="O125" s="337"/>
      <c r="P125" s="367"/>
      <c r="Q125" s="326"/>
      <c r="R125" s="367"/>
      <c r="S125" s="367"/>
      <c r="T125" s="368"/>
      <c r="U125" s="359"/>
      <c r="V125" s="348"/>
    </row>
    <row r="126" spans="1:26" ht="12.75" customHeight="1" x14ac:dyDescent="0.2">
      <c r="A126" s="380"/>
      <c r="B126" s="377"/>
      <c r="C126" s="316"/>
      <c r="D126" s="350"/>
      <c r="E126" s="350"/>
      <c r="F126" s="337"/>
      <c r="G126" s="337"/>
      <c r="H126" s="361"/>
      <c r="I126" s="19" t="s">
        <v>49</v>
      </c>
      <c r="J126" s="36">
        <v>288.36</v>
      </c>
      <c r="K126" s="337"/>
      <c r="L126" s="337"/>
      <c r="M126" s="10">
        <f>PODLAGE!$D$11</f>
        <v>282.5</v>
      </c>
      <c r="N126" s="36">
        <f t="shared" si="14"/>
        <v>81461.7</v>
      </c>
      <c r="O126" s="337"/>
      <c r="P126" s="367"/>
      <c r="Q126" s="326"/>
      <c r="R126" s="367"/>
      <c r="S126" s="367"/>
      <c r="T126" s="368"/>
      <c r="U126" s="359"/>
      <c r="V126" s="348"/>
    </row>
    <row r="127" spans="1:26" ht="12.75" customHeight="1" x14ac:dyDescent="0.2">
      <c r="A127" s="380"/>
      <c r="B127" s="377"/>
      <c r="C127" s="316"/>
      <c r="D127" s="350"/>
      <c r="E127" s="350"/>
      <c r="F127" s="337"/>
      <c r="G127" s="337"/>
      <c r="H127" s="361" t="s">
        <v>114</v>
      </c>
      <c r="I127" s="19" t="s">
        <v>115</v>
      </c>
      <c r="J127" s="36">
        <v>0</v>
      </c>
      <c r="K127" s="337"/>
      <c r="L127" s="337"/>
      <c r="M127" s="10">
        <f>PODLAGE!$D$15</f>
        <v>225.99999999999997</v>
      </c>
      <c r="N127" s="36">
        <f t="shared" si="14"/>
        <v>0</v>
      </c>
      <c r="O127" s="337"/>
      <c r="P127" s="367"/>
      <c r="Q127" s="326"/>
      <c r="R127" s="367"/>
      <c r="S127" s="367"/>
      <c r="T127" s="368"/>
      <c r="U127" s="359"/>
      <c r="V127" s="348"/>
    </row>
    <row r="128" spans="1:26" ht="12.75" customHeight="1" x14ac:dyDescent="0.2">
      <c r="A128" s="380"/>
      <c r="B128" s="377"/>
      <c r="C128" s="316"/>
      <c r="D128" s="350"/>
      <c r="E128" s="350"/>
      <c r="F128" s="337"/>
      <c r="G128" s="337"/>
      <c r="H128" s="361"/>
      <c r="I128" s="19" t="s">
        <v>116</v>
      </c>
      <c r="J128" s="36">
        <v>0</v>
      </c>
      <c r="K128" s="337"/>
      <c r="L128" s="337"/>
      <c r="M128" s="10">
        <f>PODLAGE!$D$16</f>
        <v>338.99999999999994</v>
      </c>
      <c r="N128" s="36">
        <f t="shared" si="14"/>
        <v>0</v>
      </c>
      <c r="O128" s="337"/>
      <c r="P128" s="367"/>
      <c r="Q128" s="326"/>
      <c r="R128" s="367"/>
      <c r="S128" s="367"/>
      <c r="T128" s="368"/>
      <c r="U128" s="359"/>
      <c r="V128" s="348"/>
    </row>
    <row r="129" spans="1:26" ht="89.25" customHeight="1" x14ac:dyDescent="0.2">
      <c r="A129" s="380"/>
      <c r="B129" s="377"/>
      <c r="C129" s="383" t="s">
        <v>20</v>
      </c>
      <c r="D129" s="384" t="s">
        <v>31</v>
      </c>
      <c r="E129" s="382" t="s">
        <v>1</v>
      </c>
      <c r="F129" s="112" t="s">
        <v>10</v>
      </c>
      <c r="G129" s="112" t="s">
        <v>12</v>
      </c>
      <c r="H129" s="382" t="s">
        <v>14</v>
      </c>
      <c r="I129" s="382" t="s">
        <v>14</v>
      </c>
      <c r="J129" s="382" t="s">
        <v>14</v>
      </c>
      <c r="K129" s="382" t="s">
        <v>14</v>
      </c>
      <c r="L129" s="382" t="s">
        <v>14</v>
      </c>
      <c r="M129" s="382" t="s">
        <v>14</v>
      </c>
      <c r="N129" s="382" t="s">
        <v>14</v>
      </c>
      <c r="O129" s="112" t="s">
        <v>36</v>
      </c>
      <c r="P129" s="112" t="s">
        <v>15</v>
      </c>
      <c r="Q129" s="112" t="s">
        <v>28</v>
      </c>
      <c r="R129" s="112" t="s">
        <v>33</v>
      </c>
      <c r="S129" s="112" t="s">
        <v>34</v>
      </c>
      <c r="T129" s="80" t="s">
        <v>73</v>
      </c>
      <c r="U129" s="359"/>
      <c r="V129" s="348"/>
    </row>
    <row r="130" spans="1:26" ht="12.75" customHeight="1" x14ac:dyDescent="0.2">
      <c r="A130" s="380"/>
      <c r="B130" s="377"/>
      <c r="C130" s="345"/>
      <c r="D130" s="385"/>
      <c r="E130" s="346"/>
      <c r="F130" s="122" t="s">
        <v>11</v>
      </c>
      <c r="G130" s="122" t="s">
        <v>13</v>
      </c>
      <c r="H130" s="346"/>
      <c r="I130" s="346"/>
      <c r="J130" s="346"/>
      <c r="K130" s="346"/>
      <c r="L130" s="346"/>
      <c r="M130" s="346"/>
      <c r="N130" s="346"/>
      <c r="O130" s="122" t="s">
        <v>7</v>
      </c>
      <c r="P130" s="122" t="s">
        <v>7</v>
      </c>
      <c r="Q130" s="122" t="s">
        <v>7</v>
      </c>
      <c r="R130" s="122" t="s">
        <v>7</v>
      </c>
      <c r="S130" s="122" t="s">
        <v>7</v>
      </c>
      <c r="T130" s="33" t="s">
        <v>74</v>
      </c>
      <c r="U130" s="359"/>
      <c r="V130" s="348"/>
    </row>
    <row r="131" spans="1:26" ht="12.75" customHeight="1" x14ac:dyDescent="0.2">
      <c r="A131" s="380"/>
      <c r="B131" s="377"/>
      <c r="C131" s="316" t="s">
        <v>219</v>
      </c>
      <c r="D131" s="4" t="s">
        <v>16</v>
      </c>
      <c r="E131" s="7">
        <v>30</v>
      </c>
      <c r="F131" s="7">
        <v>15</v>
      </c>
      <c r="G131" s="5">
        <f>PODLAGE!$E$37</f>
        <v>4294</v>
      </c>
      <c r="H131" s="113" t="s">
        <v>14</v>
      </c>
      <c r="I131" s="113" t="s">
        <v>14</v>
      </c>
      <c r="J131" s="113" t="s">
        <v>14</v>
      </c>
      <c r="K131" s="113" t="s">
        <v>14</v>
      </c>
      <c r="L131" s="113" t="s">
        <v>14</v>
      </c>
      <c r="M131" s="113" t="s">
        <v>14</v>
      </c>
      <c r="N131" s="113" t="s">
        <v>14</v>
      </c>
      <c r="O131" s="370">
        <v>0</v>
      </c>
      <c r="P131" s="77">
        <f>F131*G131</f>
        <v>64410</v>
      </c>
      <c r="Q131" s="372">
        <f>SUM(O131:P132)</f>
        <v>88140</v>
      </c>
      <c r="R131" s="10">
        <f>F131*PODLAGE!$K$25</f>
        <v>139201.875</v>
      </c>
      <c r="S131" s="372">
        <f>SUM(Q131:R132)</f>
        <v>271886.47499999998</v>
      </c>
      <c r="T131" s="374">
        <f>S131/(E131+E132)</f>
        <v>5129.9334905660371</v>
      </c>
      <c r="U131" s="359"/>
      <c r="V131" s="348"/>
    </row>
    <row r="132" spans="1:26" ht="13.5" customHeight="1" thickBot="1" x14ac:dyDescent="0.25">
      <c r="A132" s="380"/>
      <c r="B132" s="378"/>
      <c r="C132" s="317"/>
      <c r="D132" s="25" t="s">
        <v>17</v>
      </c>
      <c r="E132" s="28">
        <v>23</v>
      </c>
      <c r="F132" s="7">
        <v>3</v>
      </c>
      <c r="G132" s="26">
        <f>PODLAGE!$E$38</f>
        <v>7909.9999999999991</v>
      </c>
      <c r="H132" s="114" t="s">
        <v>14</v>
      </c>
      <c r="I132" s="114" t="s">
        <v>14</v>
      </c>
      <c r="J132" s="114" t="s">
        <v>14</v>
      </c>
      <c r="K132" s="114" t="s">
        <v>14</v>
      </c>
      <c r="L132" s="114" t="s">
        <v>14</v>
      </c>
      <c r="M132" s="114" t="s">
        <v>14</v>
      </c>
      <c r="N132" s="114" t="s">
        <v>14</v>
      </c>
      <c r="O132" s="398"/>
      <c r="P132" s="74">
        <f>F132*G132</f>
        <v>23729.999999999996</v>
      </c>
      <c r="Q132" s="399"/>
      <c r="R132" s="72">
        <f>F132*PODLAGE!$K$26</f>
        <v>44544.599999999991</v>
      </c>
      <c r="S132" s="399"/>
      <c r="T132" s="400"/>
      <c r="U132" s="360"/>
      <c r="V132" s="349"/>
      <c r="Y132" s="9"/>
    </row>
    <row r="133" spans="1:26" ht="89.25" customHeight="1" x14ac:dyDescent="0.2">
      <c r="A133" s="380"/>
      <c r="B133" s="376">
        <v>3</v>
      </c>
      <c r="C133" s="344" t="s">
        <v>20</v>
      </c>
      <c r="D133" s="393" t="s">
        <v>31</v>
      </c>
      <c r="E133" s="331" t="s">
        <v>1</v>
      </c>
      <c r="F133" s="107" t="s">
        <v>10</v>
      </c>
      <c r="G133" s="107" t="s">
        <v>12</v>
      </c>
      <c r="H133" s="331" t="s">
        <v>14</v>
      </c>
      <c r="I133" s="331" t="s">
        <v>14</v>
      </c>
      <c r="J133" s="331" t="s">
        <v>14</v>
      </c>
      <c r="K133" s="331" t="s">
        <v>14</v>
      </c>
      <c r="L133" s="331" t="s">
        <v>14</v>
      </c>
      <c r="M133" s="331" t="s">
        <v>14</v>
      </c>
      <c r="N133" s="331" t="s">
        <v>14</v>
      </c>
      <c r="O133" s="107" t="s">
        <v>36</v>
      </c>
      <c r="P133" s="107" t="s">
        <v>15</v>
      </c>
      <c r="Q133" s="107" t="s">
        <v>28</v>
      </c>
      <c r="R133" s="107" t="s">
        <v>33</v>
      </c>
      <c r="S133" s="107" t="s">
        <v>34</v>
      </c>
      <c r="T133" s="34" t="s">
        <v>73</v>
      </c>
      <c r="U133" s="358" t="s">
        <v>250</v>
      </c>
      <c r="V133" s="347">
        <f>Q135</f>
        <v>218542</v>
      </c>
      <c r="W133" s="362" t="s">
        <v>206</v>
      </c>
    </row>
    <row r="134" spans="1:26" ht="12.75" customHeight="1" x14ac:dyDescent="0.2">
      <c r="A134" s="380"/>
      <c r="B134" s="377"/>
      <c r="C134" s="345"/>
      <c r="D134" s="385"/>
      <c r="E134" s="346"/>
      <c r="F134" s="122" t="s">
        <v>11</v>
      </c>
      <c r="G134" s="122" t="s">
        <v>13</v>
      </c>
      <c r="H134" s="346"/>
      <c r="I134" s="346"/>
      <c r="J134" s="346"/>
      <c r="K134" s="346"/>
      <c r="L134" s="346"/>
      <c r="M134" s="346"/>
      <c r="N134" s="346"/>
      <c r="O134" s="122" t="s">
        <v>7</v>
      </c>
      <c r="P134" s="122" t="s">
        <v>7</v>
      </c>
      <c r="Q134" s="122" t="s">
        <v>7</v>
      </c>
      <c r="R134" s="122" t="s">
        <v>7</v>
      </c>
      <c r="S134" s="122" t="s">
        <v>7</v>
      </c>
      <c r="T134" s="33" t="s">
        <v>74</v>
      </c>
      <c r="U134" s="359"/>
      <c r="V134" s="348"/>
      <c r="W134" s="363"/>
    </row>
    <row r="135" spans="1:26" ht="12.75" customHeight="1" x14ac:dyDescent="0.2">
      <c r="A135" s="380"/>
      <c r="B135" s="377"/>
      <c r="C135" s="316" t="s">
        <v>220</v>
      </c>
      <c r="D135" s="4" t="s">
        <v>16</v>
      </c>
      <c r="E135" s="7">
        <v>87</v>
      </c>
      <c r="F135" s="7">
        <v>38</v>
      </c>
      <c r="G135" s="5">
        <f>PODLAGE!$E$37</f>
        <v>4294</v>
      </c>
      <c r="H135" s="113" t="s">
        <v>14</v>
      </c>
      <c r="I135" s="113" t="s">
        <v>14</v>
      </c>
      <c r="J135" s="113" t="s">
        <v>14</v>
      </c>
      <c r="K135" s="113" t="s">
        <v>14</v>
      </c>
      <c r="L135" s="113" t="s">
        <v>14</v>
      </c>
      <c r="M135" s="113" t="s">
        <v>14</v>
      </c>
      <c r="N135" s="113" t="s">
        <v>14</v>
      </c>
      <c r="O135" s="370">
        <v>0</v>
      </c>
      <c r="P135" s="77">
        <f>F135*G135</f>
        <v>163172</v>
      </c>
      <c r="Q135" s="372">
        <f>SUM(O135:P136)</f>
        <v>218542</v>
      </c>
      <c r="R135" s="10">
        <f>F135*PODLAGE!$K$25</f>
        <v>352644.75</v>
      </c>
      <c r="S135" s="372">
        <f>SUM(Q135:R136)</f>
        <v>675124.15</v>
      </c>
      <c r="T135" s="374">
        <f>S135/(E135+E136)</f>
        <v>4688.3621527777777</v>
      </c>
      <c r="U135" s="359"/>
      <c r="V135" s="348"/>
      <c r="W135" s="363"/>
    </row>
    <row r="136" spans="1:26" ht="12.75" customHeight="1" thickBot="1" x14ac:dyDescent="0.25">
      <c r="A136" s="381"/>
      <c r="B136" s="378"/>
      <c r="C136" s="317"/>
      <c r="D136" s="25" t="s">
        <v>17</v>
      </c>
      <c r="E136" s="28">
        <v>57</v>
      </c>
      <c r="F136" s="28">
        <v>7</v>
      </c>
      <c r="G136" s="26">
        <f>PODLAGE!$E$38</f>
        <v>7909.9999999999991</v>
      </c>
      <c r="H136" s="114"/>
      <c r="I136" s="114"/>
      <c r="J136" s="114"/>
      <c r="K136" s="114"/>
      <c r="L136" s="114"/>
      <c r="M136" s="114"/>
      <c r="N136" s="114"/>
      <c r="O136" s="398"/>
      <c r="P136" s="74">
        <f t="shared" ref="P136" si="15">F136*G136</f>
        <v>55369.999999999993</v>
      </c>
      <c r="Q136" s="399"/>
      <c r="R136" s="72">
        <f>F136*PODLAGE!$K$26</f>
        <v>103937.39999999998</v>
      </c>
      <c r="S136" s="399"/>
      <c r="T136" s="400"/>
      <c r="U136" s="360"/>
      <c r="V136" s="349"/>
      <c r="W136" s="364"/>
    </row>
    <row r="137" spans="1:26" ht="89.25" customHeight="1" x14ac:dyDescent="0.2">
      <c r="A137" s="379" t="s">
        <v>168</v>
      </c>
      <c r="B137" s="376">
        <v>1</v>
      </c>
      <c r="C137" s="344" t="s">
        <v>0</v>
      </c>
      <c r="D137" s="331" t="s">
        <v>1</v>
      </c>
      <c r="E137" s="331" t="s">
        <v>38</v>
      </c>
      <c r="F137" s="107" t="s">
        <v>2</v>
      </c>
      <c r="G137" s="107" t="s">
        <v>44</v>
      </c>
      <c r="H137" s="331" t="s">
        <v>45</v>
      </c>
      <c r="I137" s="331" t="s">
        <v>46</v>
      </c>
      <c r="J137" s="107" t="s">
        <v>4</v>
      </c>
      <c r="K137" s="107" t="s">
        <v>40</v>
      </c>
      <c r="L137" s="107" t="s">
        <v>6</v>
      </c>
      <c r="M137" s="107" t="s">
        <v>42</v>
      </c>
      <c r="N137" s="107" t="s">
        <v>43</v>
      </c>
      <c r="O137" s="107" t="s">
        <v>36</v>
      </c>
      <c r="P137" s="107" t="s">
        <v>9</v>
      </c>
      <c r="Q137" s="107" t="s">
        <v>28</v>
      </c>
      <c r="R137" s="107" t="s">
        <v>33</v>
      </c>
      <c r="S137" s="107" t="s">
        <v>34</v>
      </c>
      <c r="T137" s="34" t="s">
        <v>73</v>
      </c>
      <c r="U137" s="358" t="s">
        <v>251</v>
      </c>
      <c r="V137" s="347">
        <f>Q139</f>
        <v>551525.24</v>
      </c>
    </row>
    <row r="138" spans="1:26" ht="12.75" customHeight="1" x14ac:dyDescent="0.2">
      <c r="A138" s="380"/>
      <c r="B138" s="377"/>
      <c r="C138" s="345"/>
      <c r="D138" s="346"/>
      <c r="E138" s="346"/>
      <c r="F138" s="122" t="s">
        <v>39</v>
      </c>
      <c r="G138" s="122" t="s">
        <v>41</v>
      </c>
      <c r="H138" s="346"/>
      <c r="I138" s="346"/>
      <c r="J138" s="122" t="s">
        <v>5</v>
      </c>
      <c r="K138" s="122" t="s">
        <v>5</v>
      </c>
      <c r="L138" s="122" t="s">
        <v>7</v>
      </c>
      <c r="M138" s="122" t="s">
        <v>8</v>
      </c>
      <c r="N138" s="122" t="s">
        <v>7</v>
      </c>
      <c r="O138" s="122" t="s">
        <v>7</v>
      </c>
      <c r="P138" s="122" t="s">
        <v>7</v>
      </c>
      <c r="Q138" s="122" t="s">
        <v>7</v>
      </c>
      <c r="R138" s="122" t="s">
        <v>7</v>
      </c>
      <c r="S138" s="122" t="s">
        <v>7</v>
      </c>
      <c r="T138" s="33" t="s">
        <v>74</v>
      </c>
      <c r="U138" s="359"/>
      <c r="V138" s="348"/>
    </row>
    <row r="139" spans="1:26" ht="12.75" customHeight="1" x14ac:dyDescent="0.2">
      <c r="A139" s="380"/>
      <c r="B139" s="377"/>
      <c r="C139" s="316" t="s">
        <v>227</v>
      </c>
      <c r="D139" s="350">
        <v>81</v>
      </c>
      <c r="E139" s="350">
        <v>27</v>
      </c>
      <c r="F139" s="337" t="s">
        <v>229</v>
      </c>
      <c r="G139" s="337" t="s">
        <v>105</v>
      </c>
      <c r="H139" s="361" t="s">
        <v>30</v>
      </c>
      <c r="I139" s="19" t="s">
        <v>47</v>
      </c>
      <c r="J139" s="36">
        <v>527.99</v>
      </c>
      <c r="K139" s="337" t="s">
        <v>104</v>
      </c>
      <c r="L139" s="337">
        <f>PODLAGE!D24</f>
        <v>57629.999999999993</v>
      </c>
      <c r="M139" s="10">
        <f>PODLAGE!$D$6</f>
        <v>176</v>
      </c>
      <c r="N139" s="36">
        <f>J139*M139</f>
        <v>92926.24</v>
      </c>
      <c r="O139" s="337">
        <f>PODLAGE!D17</f>
        <v>1130</v>
      </c>
      <c r="P139" s="367">
        <f>SUM(N139:N146)*1.1+O139+L139</f>
        <v>551525.24</v>
      </c>
      <c r="Q139" s="367">
        <f>SUM(P139)</f>
        <v>551525.24</v>
      </c>
      <c r="R139" s="367">
        <f>((D139*PODLAGE!$I$9*PODLAGE!$I$22)+(E139*PODLAGE!$J$22*12))*20</f>
        <v>110734.19279999999</v>
      </c>
      <c r="S139" s="367">
        <f>SUM(Q139:R146)</f>
        <v>662259.43279999995</v>
      </c>
      <c r="T139" s="368">
        <f>S139/D139</f>
        <v>8176.0423802469131</v>
      </c>
      <c r="U139" s="359"/>
      <c r="V139" s="348"/>
    </row>
    <row r="140" spans="1:26" ht="12.75" customHeight="1" x14ac:dyDescent="0.2">
      <c r="A140" s="380"/>
      <c r="B140" s="377"/>
      <c r="C140" s="316"/>
      <c r="D140" s="350"/>
      <c r="E140" s="350"/>
      <c r="F140" s="337"/>
      <c r="G140" s="337"/>
      <c r="H140" s="361"/>
      <c r="I140" s="19" t="s">
        <v>48</v>
      </c>
      <c r="J140" s="36">
        <v>86.62</v>
      </c>
      <c r="K140" s="337"/>
      <c r="L140" s="337"/>
      <c r="M140" s="10">
        <f>PODLAGE!$D$7</f>
        <v>308</v>
      </c>
      <c r="N140" s="36">
        <f t="shared" ref="N140:N146" si="16">J140*M140</f>
        <v>26678.960000000003</v>
      </c>
      <c r="O140" s="337"/>
      <c r="P140" s="367"/>
      <c r="Q140" s="367"/>
      <c r="R140" s="367"/>
      <c r="S140" s="367"/>
      <c r="T140" s="368"/>
      <c r="U140" s="359"/>
      <c r="V140" s="348"/>
    </row>
    <row r="141" spans="1:26" ht="12.75" customHeight="1" x14ac:dyDescent="0.2">
      <c r="A141" s="380"/>
      <c r="B141" s="377"/>
      <c r="C141" s="316"/>
      <c r="D141" s="350"/>
      <c r="E141" s="350"/>
      <c r="F141" s="337"/>
      <c r="G141" s="337"/>
      <c r="H141" s="361"/>
      <c r="I141" s="19" t="s">
        <v>49</v>
      </c>
      <c r="J141" s="36">
        <v>746.28000000000009</v>
      </c>
      <c r="K141" s="337"/>
      <c r="L141" s="337"/>
      <c r="M141" s="10">
        <f>PODLAGE!$D$8</f>
        <v>440</v>
      </c>
      <c r="N141" s="36">
        <f t="shared" si="16"/>
        <v>328363.2</v>
      </c>
      <c r="O141" s="337"/>
      <c r="P141" s="367"/>
      <c r="Q141" s="367"/>
      <c r="R141" s="367"/>
      <c r="S141" s="367"/>
      <c r="T141" s="368"/>
      <c r="U141" s="359"/>
      <c r="V141" s="348"/>
      <c r="Z141" s="9"/>
    </row>
    <row r="142" spans="1:26" ht="12.75" customHeight="1" x14ac:dyDescent="0.2">
      <c r="A142" s="380"/>
      <c r="B142" s="377"/>
      <c r="C142" s="316"/>
      <c r="D142" s="350"/>
      <c r="E142" s="350"/>
      <c r="F142" s="337"/>
      <c r="G142" s="337"/>
      <c r="H142" s="361" t="s">
        <v>29</v>
      </c>
      <c r="I142" s="19" t="s">
        <v>47</v>
      </c>
      <c r="J142" s="36">
        <v>0</v>
      </c>
      <c r="K142" s="337"/>
      <c r="L142" s="337"/>
      <c r="M142" s="10">
        <f>PODLAGE!$D$9</f>
        <v>112.99999999999999</v>
      </c>
      <c r="N142" s="36">
        <f t="shared" si="16"/>
        <v>0</v>
      </c>
      <c r="O142" s="337"/>
      <c r="P142" s="367"/>
      <c r="Q142" s="367"/>
      <c r="R142" s="367"/>
      <c r="S142" s="367"/>
      <c r="T142" s="368"/>
      <c r="U142" s="359"/>
      <c r="V142" s="348"/>
    </row>
    <row r="143" spans="1:26" ht="12.75" customHeight="1" x14ac:dyDescent="0.2">
      <c r="A143" s="380"/>
      <c r="B143" s="377"/>
      <c r="C143" s="316"/>
      <c r="D143" s="350"/>
      <c r="E143" s="350"/>
      <c r="F143" s="337"/>
      <c r="G143" s="337"/>
      <c r="H143" s="390"/>
      <c r="I143" s="19" t="s">
        <v>48</v>
      </c>
      <c r="J143" s="36">
        <v>0</v>
      </c>
      <c r="K143" s="337"/>
      <c r="L143" s="337"/>
      <c r="M143" s="10">
        <f>PODLAGE!$D$10</f>
        <v>197.74999999999997</v>
      </c>
      <c r="N143" s="36">
        <f t="shared" si="16"/>
        <v>0</v>
      </c>
      <c r="O143" s="337"/>
      <c r="P143" s="367"/>
      <c r="Q143" s="367"/>
      <c r="R143" s="367"/>
      <c r="S143" s="367"/>
      <c r="T143" s="368"/>
      <c r="U143" s="359"/>
      <c r="V143" s="348"/>
    </row>
    <row r="144" spans="1:26" ht="12.75" customHeight="1" x14ac:dyDescent="0.2">
      <c r="A144" s="380"/>
      <c r="B144" s="377"/>
      <c r="C144" s="316"/>
      <c r="D144" s="350"/>
      <c r="E144" s="350"/>
      <c r="F144" s="337"/>
      <c r="G144" s="337"/>
      <c r="H144" s="391"/>
      <c r="I144" s="19" t="s">
        <v>49</v>
      </c>
      <c r="J144" s="36">
        <v>0</v>
      </c>
      <c r="K144" s="337"/>
      <c r="L144" s="337"/>
      <c r="M144" s="10">
        <f>PODLAGE!$D$11</f>
        <v>282.5</v>
      </c>
      <c r="N144" s="36">
        <f t="shared" si="16"/>
        <v>0</v>
      </c>
      <c r="O144" s="337"/>
      <c r="P144" s="367"/>
      <c r="Q144" s="367"/>
      <c r="R144" s="367"/>
      <c r="S144" s="367"/>
      <c r="T144" s="368"/>
      <c r="U144" s="359"/>
      <c r="V144" s="348"/>
    </row>
    <row r="145" spans="1:26" ht="12.75" customHeight="1" x14ac:dyDescent="0.2">
      <c r="A145" s="380"/>
      <c r="B145" s="377"/>
      <c r="C145" s="316"/>
      <c r="D145" s="350"/>
      <c r="E145" s="350"/>
      <c r="F145" s="337"/>
      <c r="G145" s="337"/>
      <c r="H145" s="361" t="s">
        <v>114</v>
      </c>
      <c r="I145" s="19" t="s">
        <v>115</v>
      </c>
      <c r="J145" s="36">
        <v>0</v>
      </c>
      <c r="K145" s="337"/>
      <c r="L145" s="337"/>
      <c r="M145" s="10">
        <f>PODLAGE!$D$15</f>
        <v>225.99999999999997</v>
      </c>
      <c r="N145" s="36">
        <f t="shared" si="16"/>
        <v>0</v>
      </c>
      <c r="O145" s="337"/>
      <c r="P145" s="367"/>
      <c r="Q145" s="367"/>
      <c r="R145" s="367"/>
      <c r="S145" s="367"/>
      <c r="T145" s="368"/>
      <c r="U145" s="359"/>
      <c r="V145" s="348"/>
    </row>
    <row r="146" spans="1:26" ht="12.75" customHeight="1" thickBot="1" x14ac:dyDescent="0.25">
      <c r="A146" s="380"/>
      <c r="B146" s="377"/>
      <c r="C146" s="316"/>
      <c r="D146" s="350"/>
      <c r="E146" s="350"/>
      <c r="F146" s="337"/>
      <c r="G146" s="337"/>
      <c r="H146" s="361"/>
      <c r="I146" s="19" t="s">
        <v>116</v>
      </c>
      <c r="J146" s="36">
        <v>0</v>
      </c>
      <c r="K146" s="337"/>
      <c r="L146" s="337"/>
      <c r="M146" s="10">
        <f>PODLAGE!$D$16</f>
        <v>338.99999999999994</v>
      </c>
      <c r="N146" s="36">
        <f t="shared" si="16"/>
        <v>0</v>
      </c>
      <c r="O146" s="337"/>
      <c r="P146" s="367"/>
      <c r="Q146" s="367"/>
      <c r="R146" s="367"/>
      <c r="S146" s="367"/>
      <c r="T146" s="368"/>
      <c r="U146" s="359"/>
      <c r="V146" s="348"/>
    </row>
    <row r="147" spans="1:26" ht="89.25" customHeight="1" x14ac:dyDescent="0.2">
      <c r="A147" s="380"/>
      <c r="B147" s="376">
        <v>2</v>
      </c>
      <c r="C147" s="383" t="s">
        <v>20</v>
      </c>
      <c r="D147" s="384" t="s">
        <v>31</v>
      </c>
      <c r="E147" s="382" t="s">
        <v>1</v>
      </c>
      <c r="F147" s="112" t="s">
        <v>10</v>
      </c>
      <c r="G147" s="112" t="s">
        <v>12</v>
      </c>
      <c r="H147" s="382" t="s">
        <v>14</v>
      </c>
      <c r="I147" s="382" t="s">
        <v>14</v>
      </c>
      <c r="J147" s="382" t="s">
        <v>14</v>
      </c>
      <c r="K147" s="382" t="s">
        <v>14</v>
      </c>
      <c r="L147" s="382" t="s">
        <v>14</v>
      </c>
      <c r="M147" s="382" t="s">
        <v>14</v>
      </c>
      <c r="N147" s="382" t="s">
        <v>14</v>
      </c>
      <c r="O147" s="112" t="s">
        <v>36</v>
      </c>
      <c r="P147" s="112" t="s">
        <v>15</v>
      </c>
      <c r="Q147" s="112" t="s">
        <v>28</v>
      </c>
      <c r="R147" s="112" t="s">
        <v>33</v>
      </c>
      <c r="S147" s="112" t="s">
        <v>34</v>
      </c>
      <c r="T147" s="80" t="s">
        <v>73</v>
      </c>
      <c r="U147" s="358" t="s">
        <v>252</v>
      </c>
      <c r="V147" s="347">
        <f>Q149</f>
        <v>129950</v>
      </c>
      <c r="W147" s="362" t="s">
        <v>206</v>
      </c>
    </row>
    <row r="148" spans="1:26" ht="12.75" customHeight="1" x14ac:dyDescent="0.2">
      <c r="A148" s="380"/>
      <c r="B148" s="377"/>
      <c r="C148" s="345"/>
      <c r="D148" s="385"/>
      <c r="E148" s="346"/>
      <c r="F148" s="122" t="s">
        <v>11</v>
      </c>
      <c r="G148" s="122" t="s">
        <v>13</v>
      </c>
      <c r="H148" s="346"/>
      <c r="I148" s="346"/>
      <c r="J148" s="346"/>
      <c r="K148" s="346"/>
      <c r="L148" s="346"/>
      <c r="M148" s="346"/>
      <c r="N148" s="346"/>
      <c r="O148" s="122" t="s">
        <v>7</v>
      </c>
      <c r="P148" s="122" t="s">
        <v>7</v>
      </c>
      <c r="Q148" s="122" t="s">
        <v>7</v>
      </c>
      <c r="R148" s="122" t="s">
        <v>7</v>
      </c>
      <c r="S148" s="122" t="s">
        <v>7</v>
      </c>
      <c r="T148" s="33" t="s">
        <v>74</v>
      </c>
      <c r="U148" s="359"/>
      <c r="V148" s="348"/>
      <c r="W148" s="363"/>
    </row>
    <row r="149" spans="1:26" ht="12.75" customHeight="1" x14ac:dyDescent="0.2">
      <c r="A149" s="380"/>
      <c r="B149" s="377"/>
      <c r="C149" s="316" t="s">
        <v>222</v>
      </c>
      <c r="D149" s="4" t="s">
        <v>16</v>
      </c>
      <c r="E149" s="7">
        <v>61</v>
      </c>
      <c r="F149" s="7">
        <v>25</v>
      </c>
      <c r="G149" s="5">
        <f>PODLAGE!$E$37</f>
        <v>4294</v>
      </c>
      <c r="H149" s="113" t="s">
        <v>14</v>
      </c>
      <c r="I149" s="113" t="s">
        <v>14</v>
      </c>
      <c r="J149" s="113" t="s">
        <v>14</v>
      </c>
      <c r="K149" s="113" t="s">
        <v>14</v>
      </c>
      <c r="L149" s="113" t="s">
        <v>14</v>
      </c>
      <c r="M149" s="113" t="s">
        <v>14</v>
      </c>
      <c r="N149" s="113" t="s">
        <v>14</v>
      </c>
      <c r="O149" s="370">
        <v>0</v>
      </c>
      <c r="P149" s="77">
        <f>F149*G149</f>
        <v>107350</v>
      </c>
      <c r="Q149" s="367">
        <f>SUM(O149:P151)</f>
        <v>129950</v>
      </c>
      <c r="R149" s="10">
        <f>F149*PODLAGE!$K$25</f>
        <v>232003.125</v>
      </c>
      <c r="S149" s="372">
        <f>SUM(Q149:R151)</f>
        <v>400558.44500000001</v>
      </c>
      <c r="T149" s="374">
        <f>S149/(E149+E150+E151)</f>
        <v>4945.1659876543208</v>
      </c>
      <c r="U149" s="359"/>
      <c r="V149" s="348"/>
      <c r="W149" s="363"/>
    </row>
    <row r="150" spans="1:26" ht="12.75" customHeight="1" x14ac:dyDescent="0.2">
      <c r="A150" s="380"/>
      <c r="B150" s="377"/>
      <c r="C150" s="386"/>
      <c r="D150" s="119" t="s">
        <v>17</v>
      </c>
      <c r="E150" s="120">
        <v>9</v>
      </c>
      <c r="F150" s="7">
        <v>1</v>
      </c>
      <c r="G150" s="5">
        <f>PODLAGE!$E$38</f>
        <v>7909.9999999999991</v>
      </c>
      <c r="H150" s="113" t="s">
        <v>14</v>
      </c>
      <c r="I150" s="113" t="s">
        <v>14</v>
      </c>
      <c r="J150" s="113" t="s">
        <v>14</v>
      </c>
      <c r="K150" s="113" t="s">
        <v>14</v>
      </c>
      <c r="L150" s="113" t="s">
        <v>14</v>
      </c>
      <c r="M150" s="113" t="s">
        <v>14</v>
      </c>
      <c r="N150" s="113" t="s">
        <v>14</v>
      </c>
      <c r="O150" s="371"/>
      <c r="P150" s="77">
        <f t="shared" ref="P150:P151" si="17">F150*G150</f>
        <v>7909.9999999999991</v>
      </c>
      <c r="Q150" s="354"/>
      <c r="R150" s="10">
        <f>F150*PODLAGE!$K$26</f>
        <v>14848.199999999997</v>
      </c>
      <c r="S150" s="373"/>
      <c r="T150" s="375"/>
      <c r="U150" s="359"/>
      <c r="V150" s="348"/>
      <c r="W150" s="363"/>
    </row>
    <row r="151" spans="1:26" ht="12.75" customHeight="1" thickBot="1" x14ac:dyDescent="0.25">
      <c r="A151" s="380"/>
      <c r="B151" s="377"/>
      <c r="C151" s="386"/>
      <c r="D151" s="119" t="s">
        <v>18</v>
      </c>
      <c r="E151" s="120">
        <v>11</v>
      </c>
      <c r="F151" s="7">
        <v>1</v>
      </c>
      <c r="G151" s="5">
        <f>PODLAGE!$E$39</f>
        <v>14689.999999999998</v>
      </c>
      <c r="H151" s="113" t="s">
        <v>14</v>
      </c>
      <c r="I151" s="113" t="s">
        <v>14</v>
      </c>
      <c r="J151" s="113" t="s">
        <v>14</v>
      </c>
      <c r="K151" s="113" t="s">
        <v>14</v>
      </c>
      <c r="L151" s="113" t="s">
        <v>14</v>
      </c>
      <c r="M151" s="113" t="s">
        <v>14</v>
      </c>
      <c r="N151" s="113" t="s">
        <v>14</v>
      </c>
      <c r="O151" s="371"/>
      <c r="P151" s="77">
        <f t="shared" si="17"/>
        <v>14689.999999999998</v>
      </c>
      <c r="Q151" s="354"/>
      <c r="R151" s="10">
        <f>F151*PODLAGE!$K$27</f>
        <v>23757.119999999995</v>
      </c>
      <c r="S151" s="373"/>
      <c r="T151" s="375"/>
      <c r="U151" s="359"/>
      <c r="V151" s="348"/>
      <c r="W151" s="364"/>
    </row>
    <row r="152" spans="1:26" ht="89.25" customHeight="1" x14ac:dyDescent="0.2">
      <c r="A152" s="379" t="s">
        <v>176</v>
      </c>
      <c r="B152" s="376">
        <v>1</v>
      </c>
      <c r="C152" s="344" t="s">
        <v>0</v>
      </c>
      <c r="D152" s="331" t="s">
        <v>1</v>
      </c>
      <c r="E152" s="331" t="s">
        <v>38</v>
      </c>
      <c r="F152" s="107" t="s">
        <v>2</v>
      </c>
      <c r="G152" s="107" t="s">
        <v>44</v>
      </c>
      <c r="H152" s="331" t="s">
        <v>45</v>
      </c>
      <c r="I152" s="331" t="s">
        <v>46</v>
      </c>
      <c r="J152" s="107" t="s">
        <v>4</v>
      </c>
      <c r="K152" s="107" t="s">
        <v>40</v>
      </c>
      <c r="L152" s="107" t="s">
        <v>6</v>
      </c>
      <c r="M152" s="107" t="s">
        <v>42</v>
      </c>
      <c r="N152" s="107" t="s">
        <v>43</v>
      </c>
      <c r="O152" s="107" t="s">
        <v>36</v>
      </c>
      <c r="P152" s="107" t="s">
        <v>9</v>
      </c>
      <c r="Q152" s="107" t="s">
        <v>28</v>
      </c>
      <c r="R152" s="107" t="s">
        <v>33</v>
      </c>
      <c r="S152" s="107" t="s">
        <v>34</v>
      </c>
      <c r="T152" s="34" t="s">
        <v>73</v>
      </c>
      <c r="U152" s="358" t="s">
        <v>253</v>
      </c>
      <c r="V152" s="347">
        <f>Q154</f>
        <v>292596.46399999998</v>
      </c>
    </row>
    <row r="153" spans="1:26" ht="12.75" customHeight="1" x14ac:dyDescent="0.2">
      <c r="A153" s="380"/>
      <c r="B153" s="377"/>
      <c r="C153" s="345"/>
      <c r="D153" s="346"/>
      <c r="E153" s="346"/>
      <c r="F153" s="122" t="s">
        <v>39</v>
      </c>
      <c r="G153" s="122" t="s">
        <v>41</v>
      </c>
      <c r="H153" s="346"/>
      <c r="I153" s="346"/>
      <c r="J153" s="122" t="s">
        <v>5</v>
      </c>
      <c r="K153" s="122" t="s">
        <v>5</v>
      </c>
      <c r="L153" s="122" t="s">
        <v>7</v>
      </c>
      <c r="M153" s="122" t="s">
        <v>8</v>
      </c>
      <c r="N153" s="122" t="s">
        <v>7</v>
      </c>
      <c r="O153" s="122" t="s">
        <v>7</v>
      </c>
      <c r="P153" s="122" t="s">
        <v>7</v>
      </c>
      <c r="Q153" s="122" t="s">
        <v>7</v>
      </c>
      <c r="R153" s="122" t="s">
        <v>7</v>
      </c>
      <c r="S153" s="122" t="s">
        <v>7</v>
      </c>
      <c r="T153" s="33" t="s">
        <v>74</v>
      </c>
      <c r="U153" s="359"/>
      <c r="V153" s="348"/>
    </row>
    <row r="154" spans="1:26" ht="12.75" customHeight="1" x14ac:dyDescent="0.2">
      <c r="A154" s="380"/>
      <c r="B154" s="377"/>
      <c r="C154" s="316" t="s">
        <v>228</v>
      </c>
      <c r="D154" s="350">
        <v>21</v>
      </c>
      <c r="E154" s="350">
        <v>10</v>
      </c>
      <c r="F154" s="337" t="s">
        <v>234</v>
      </c>
      <c r="G154" s="337" t="s">
        <v>105</v>
      </c>
      <c r="H154" s="361" t="s">
        <v>30</v>
      </c>
      <c r="I154" s="19" t="s">
        <v>47</v>
      </c>
      <c r="J154" s="36">
        <v>105.99</v>
      </c>
      <c r="K154" s="337" t="s">
        <v>104</v>
      </c>
      <c r="L154" s="337">
        <f>PODLAGE!D21</f>
        <v>19774.999999999996</v>
      </c>
      <c r="M154" s="10">
        <f>PODLAGE!$D$6</f>
        <v>176</v>
      </c>
      <c r="N154" s="36">
        <f>J154*M154</f>
        <v>18654.239999999998</v>
      </c>
      <c r="O154" s="337">
        <f>PODLAGE!D17</f>
        <v>1130</v>
      </c>
      <c r="P154" s="367">
        <f>SUM(N154:N161)*1.1+O154+L154</f>
        <v>292596.46399999998</v>
      </c>
      <c r="Q154" s="367">
        <f>SUM(P154)</f>
        <v>292596.46399999998</v>
      </c>
      <c r="R154" s="367">
        <f>((D154*PODLAGE!$I$9*PODLAGE!$I$22)+(E154*PODLAGE!$J$22*12))*20</f>
        <v>30014.872799999994</v>
      </c>
      <c r="S154" s="367">
        <f>SUM(Q154:R161)</f>
        <v>322611.33679999999</v>
      </c>
      <c r="T154" s="368">
        <f>S154/D154</f>
        <v>15362.444609523809</v>
      </c>
      <c r="U154" s="359"/>
      <c r="V154" s="348"/>
    </row>
    <row r="155" spans="1:26" ht="12.75" customHeight="1" x14ac:dyDescent="0.2">
      <c r="A155" s="380"/>
      <c r="B155" s="377"/>
      <c r="C155" s="316"/>
      <c r="D155" s="350"/>
      <c r="E155" s="350"/>
      <c r="F155" s="337"/>
      <c r="G155" s="337"/>
      <c r="H155" s="361"/>
      <c r="I155" s="19" t="s">
        <v>48</v>
      </c>
      <c r="J155" s="36">
        <v>0</v>
      </c>
      <c r="K155" s="337"/>
      <c r="L155" s="337"/>
      <c r="M155" s="10">
        <f>PODLAGE!$D$7</f>
        <v>308</v>
      </c>
      <c r="N155" s="36">
        <f t="shared" ref="N155:N161" si="18">J155*M155</f>
        <v>0</v>
      </c>
      <c r="O155" s="337"/>
      <c r="P155" s="367"/>
      <c r="Q155" s="367"/>
      <c r="R155" s="367"/>
      <c r="S155" s="367"/>
      <c r="T155" s="368"/>
      <c r="U155" s="359"/>
      <c r="V155" s="348"/>
    </row>
    <row r="156" spans="1:26" ht="12.75" customHeight="1" x14ac:dyDescent="0.2">
      <c r="A156" s="380"/>
      <c r="B156" s="377"/>
      <c r="C156" s="316"/>
      <c r="D156" s="350"/>
      <c r="E156" s="350"/>
      <c r="F156" s="337"/>
      <c r="G156" s="337"/>
      <c r="H156" s="361"/>
      <c r="I156" s="19" t="s">
        <v>49</v>
      </c>
      <c r="J156" s="36">
        <v>518.94999999999993</v>
      </c>
      <c r="K156" s="337"/>
      <c r="L156" s="337"/>
      <c r="M156" s="10">
        <f>PODLAGE!$D$8</f>
        <v>440</v>
      </c>
      <c r="N156" s="36">
        <f t="shared" si="18"/>
        <v>228337.99999999997</v>
      </c>
      <c r="O156" s="337"/>
      <c r="P156" s="367"/>
      <c r="Q156" s="367"/>
      <c r="R156" s="367"/>
      <c r="S156" s="367"/>
      <c r="T156" s="368"/>
      <c r="U156" s="359"/>
      <c r="V156" s="348"/>
      <c r="Z156" s="9"/>
    </row>
    <row r="157" spans="1:26" ht="12.75" customHeight="1" x14ac:dyDescent="0.2">
      <c r="A157" s="380"/>
      <c r="B157" s="377"/>
      <c r="C157" s="316"/>
      <c r="D157" s="350"/>
      <c r="E157" s="350"/>
      <c r="F157" s="337"/>
      <c r="G157" s="337"/>
      <c r="H157" s="361" t="s">
        <v>29</v>
      </c>
      <c r="I157" s="19" t="s">
        <v>47</v>
      </c>
      <c r="J157" s="36">
        <v>0</v>
      </c>
      <c r="K157" s="337"/>
      <c r="L157" s="337"/>
      <c r="M157" s="10">
        <f>PODLAGE!$D$9</f>
        <v>112.99999999999999</v>
      </c>
      <c r="N157" s="36">
        <f t="shared" si="18"/>
        <v>0</v>
      </c>
      <c r="O157" s="337"/>
      <c r="P157" s="367"/>
      <c r="Q157" s="367"/>
      <c r="R157" s="367"/>
      <c r="S157" s="367"/>
      <c r="T157" s="368"/>
      <c r="U157" s="359"/>
      <c r="V157" s="348"/>
    </row>
    <row r="158" spans="1:26" ht="12.75" customHeight="1" x14ac:dyDescent="0.2">
      <c r="A158" s="380"/>
      <c r="B158" s="377"/>
      <c r="C158" s="316"/>
      <c r="D158" s="350"/>
      <c r="E158" s="350"/>
      <c r="F158" s="337"/>
      <c r="G158" s="337"/>
      <c r="H158" s="390"/>
      <c r="I158" s="19" t="s">
        <v>48</v>
      </c>
      <c r="J158" s="36">
        <v>0</v>
      </c>
      <c r="K158" s="337"/>
      <c r="L158" s="337"/>
      <c r="M158" s="10">
        <f>PODLAGE!$D$10</f>
        <v>197.74999999999997</v>
      </c>
      <c r="N158" s="36">
        <f t="shared" si="18"/>
        <v>0</v>
      </c>
      <c r="O158" s="337"/>
      <c r="P158" s="367"/>
      <c r="Q158" s="367"/>
      <c r="R158" s="367"/>
      <c r="S158" s="367"/>
      <c r="T158" s="368"/>
      <c r="U158" s="359"/>
      <c r="V158" s="348"/>
    </row>
    <row r="159" spans="1:26" ht="12.75" customHeight="1" x14ac:dyDescent="0.2">
      <c r="A159" s="380"/>
      <c r="B159" s="377"/>
      <c r="C159" s="316"/>
      <c r="D159" s="350"/>
      <c r="E159" s="350"/>
      <c r="F159" s="337"/>
      <c r="G159" s="337"/>
      <c r="H159" s="391"/>
      <c r="I159" s="19" t="s">
        <v>49</v>
      </c>
      <c r="J159" s="36">
        <v>0</v>
      </c>
      <c r="K159" s="337"/>
      <c r="L159" s="337"/>
      <c r="M159" s="10">
        <f>PODLAGE!$D$11</f>
        <v>282.5</v>
      </c>
      <c r="N159" s="36">
        <f t="shared" si="18"/>
        <v>0</v>
      </c>
      <c r="O159" s="337"/>
      <c r="P159" s="367"/>
      <c r="Q159" s="367"/>
      <c r="R159" s="367"/>
      <c r="S159" s="367"/>
      <c r="T159" s="368"/>
      <c r="U159" s="359"/>
      <c r="V159" s="348"/>
    </row>
    <row r="160" spans="1:26" ht="12.75" customHeight="1" x14ac:dyDescent="0.2">
      <c r="A160" s="380"/>
      <c r="B160" s="377"/>
      <c r="C160" s="316"/>
      <c r="D160" s="350"/>
      <c r="E160" s="350"/>
      <c r="F160" s="337"/>
      <c r="G160" s="337"/>
      <c r="H160" s="361" t="s">
        <v>114</v>
      </c>
      <c r="I160" s="19" t="s">
        <v>115</v>
      </c>
      <c r="J160" s="36">
        <v>0</v>
      </c>
      <c r="K160" s="337"/>
      <c r="L160" s="337"/>
      <c r="M160" s="10">
        <f>PODLAGE!$D$15</f>
        <v>225.99999999999997</v>
      </c>
      <c r="N160" s="36">
        <f t="shared" si="18"/>
        <v>0</v>
      </c>
      <c r="O160" s="337"/>
      <c r="P160" s="367"/>
      <c r="Q160" s="367"/>
      <c r="R160" s="367"/>
      <c r="S160" s="367"/>
      <c r="T160" s="368"/>
      <c r="U160" s="359"/>
      <c r="V160" s="348"/>
    </row>
    <row r="161" spans="1:23" ht="12.75" customHeight="1" thickBot="1" x14ac:dyDescent="0.25">
      <c r="A161" s="380"/>
      <c r="B161" s="377"/>
      <c r="C161" s="316"/>
      <c r="D161" s="350"/>
      <c r="E161" s="350"/>
      <c r="F161" s="337"/>
      <c r="G161" s="337"/>
      <c r="H161" s="361"/>
      <c r="I161" s="19" t="s">
        <v>116</v>
      </c>
      <c r="J161" s="36">
        <v>0</v>
      </c>
      <c r="K161" s="337"/>
      <c r="L161" s="337"/>
      <c r="M161" s="10">
        <f>PODLAGE!$D$16</f>
        <v>338.99999999999994</v>
      </c>
      <c r="N161" s="36">
        <f t="shared" si="18"/>
        <v>0</v>
      </c>
      <c r="O161" s="337"/>
      <c r="P161" s="367"/>
      <c r="Q161" s="367"/>
      <c r="R161" s="367"/>
      <c r="S161" s="367"/>
      <c r="T161" s="368"/>
      <c r="U161" s="359"/>
      <c r="V161" s="348"/>
    </row>
    <row r="162" spans="1:23" ht="89.25" customHeight="1" x14ac:dyDescent="0.2">
      <c r="A162" s="380"/>
      <c r="B162" s="376">
        <v>2</v>
      </c>
      <c r="C162" s="383" t="s">
        <v>20</v>
      </c>
      <c r="D162" s="384" t="s">
        <v>31</v>
      </c>
      <c r="E162" s="382" t="s">
        <v>1</v>
      </c>
      <c r="F162" s="112" t="s">
        <v>10</v>
      </c>
      <c r="G162" s="112" t="s">
        <v>12</v>
      </c>
      <c r="H162" s="382" t="s">
        <v>14</v>
      </c>
      <c r="I162" s="382" t="s">
        <v>14</v>
      </c>
      <c r="J162" s="382" t="s">
        <v>14</v>
      </c>
      <c r="K162" s="382" t="s">
        <v>14</v>
      </c>
      <c r="L162" s="382" t="s">
        <v>14</v>
      </c>
      <c r="M162" s="382" t="s">
        <v>14</v>
      </c>
      <c r="N162" s="382" t="s">
        <v>14</v>
      </c>
      <c r="O162" s="112" t="s">
        <v>36</v>
      </c>
      <c r="P162" s="112" t="s">
        <v>15</v>
      </c>
      <c r="Q162" s="112" t="s">
        <v>28</v>
      </c>
      <c r="R162" s="112" t="s">
        <v>33</v>
      </c>
      <c r="S162" s="112" t="s">
        <v>34</v>
      </c>
      <c r="T162" s="80" t="s">
        <v>73</v>
      </c>
      <c r="U162" s="358" t="s">
        <v>254</v>
      </c>
      <c r="V162" s="347">
        <f>Q164</f>
        <v>46556</v>
      </c>
      <c r="W162" s="362" t="s">
        <v>206</v>
      </c>
    </row>
    <row r="163" spans="1:23" ht="12.75" customHeight="1" x14ac:dyDescent="0.2">
      <c r="A163" s="380"/>
      <c r="B163" s="377"/>
      <c r="C163" s="345"/>
      <c r="D163" s="385"/>
      <c r="E163" s="346"/>
      <c r="F163" s="122" t="s">
        <v>11</v>
      </c>
      <c r="G163" s="122" t="s">
        <v>13</v>
      </c>
      <c r="H163" s="346"/>
      <c r="I163" s="346"/>
      <c r="J163" s="346"/>
      <c r="K163" s="346"/>
      <c r="L163" s="346"/>
      <c r="M163" s="346"/>
      <c r="N163" s="346"/>
      <c r="O163" s="122" t="s">
        <v>7</v>
      </c>
      <c r="P163" s="122" t="s">
        <v>7</v>
      </c>
      <c r="Q163" s="122" t="s">
        <v>7</v>
      </c>
      <c r="R163" s="122" t="s">
        <v>7</v>
      </c>
      <c r="S163" s="122" t="s">
        <v>7</v>
      </c>
      <c r="T163" s="33" t="s">
        <v>74</v>
      </c>
      <c r="U163" s="359"/>
      <c r="V163" s="348"/>
      <c r="W163" s="363"/>
    </row>
    <row r="164" spans="1:23" ht="12.75" customHeight="1" x14ac:dyDescent="0.2">
      <c r="A164" s="380"/>
      <c r="B164" s="377"/>
      <c r="C164" s="316" t="s">
        <v>223</v>
      </c>
      <c r="D164" s="4" t="s">
        <v>16</v>
      </c>
      <c r="E164" s="7">
        <v>15</v>
      </c>
      <c r="F164" s="7">
        <v>9</v>
      </c>
      <c r="G164" s="5">
        <f>PODLAGE!$E$37</f>
        <v>4294</v>
      </c>
      <c r="H164" s="113" t="s">
        <v>14</v>
      </c>
      <c r="I164" s="113" t="s">
        <v>14</v>
      </c>
      <c r="J164" s="113" t="s">
        <v>14</v>
      </c>
      <c r="K164" s="113" t="s">
        <v>14</v>
      </c>
      <c r="L164" s="113" t="s">
        <v>14</v>
      </c>
      <c r="M164" s="113" t="s">
        <v>14</v>
      </c>
      <c r="N164" s="113" t="s">
        <v>14</v>
      </c>
      <c r="O164" s="370">
        <v>0</v>
      </c>
      <c r="P164" s="77">
        <f>F164*G164</f>
        <v>38646</v>
      </c>
      <c r="Q164" s="367">
        <f>SUM(O164:P165)</f>
        <v>46556</v>
      </c>
      <c r="R164" s="10">
        <f>F164*PODLAGE!$K$25</f>
        <v>83521.125</v>
      </c>
      <c r="S164" s="372">
        <f>SUM(Q164:R165)</f>
        <v>144925.32500000001</v>
      </c>
      <c r="T164" s="374">
        <f>S164/(E164+E165)</f>
        <v>6901.205952380953</v>
      </c>
      <c r="U164" s="359"/>
      <c r="V164" s="348"/>
      <c r="W164" s="363"/>
    </row>
    <row r="165" spans="1:23" ht="12.75" customHeight="1" thickBot="1" x14ac:dyDescent="0.25">
      <c r="A165" s="381"/>
      <c r="B165" s="378"/>
      <c r="C165" s="317"/>
      <c r="D165" s="25" t="s">
        <v>17</v>
      </c>
      <c r="E165" s="28">
        <v>6</v>
      </c>
      <c r="F165" s="28">
        <v>1</v>
      </c>
      <c r="G165" s="26">
        <f>PODLAGE!$E$38</f>
        <v>7909.9999999999991</v>
      </c>
      <c r="H165" s="114" t="s">
        <v>14</v>
      </c>
      <c r="I165" s="114" t="s">
        <v>14</v>
      </c>
      <c r="J165" s="114" t="s">
        <v>14</v>
      </c>
      <c r="K165" s="114" t="s">
        <v>14</v>
      </c>
      <c r="L165" s="114" t="s">
        <v>14</v>
      </c>
      <c r="M165" s="114" t="s">
        <v>14</v>
      </c>
      <c r="N165" s="114" t="s">
        <v>14</v>
      </c>
      <c r="O165" s="398"/>
      <c r="P165" s="74">
        <f t="shared" ref="P165" si="19">F165*G165</f>
        <v>7909.9999999999991</v>
      </c>
      <c r="Q165" s="401"/>
      <c r="R165" s="72">
        <f>F165*PODLAGE!$K$26</f>
        <v>14848.199999999997</v>
      </c>
      <c r="S165" s="399"/>
      <c r="T165" s="400"/>
      <c r="U165" s="360"/>
      <c r="V165" s="349"/>
      <c r="W165" s="364"/>
    </row>
    <row r="166" spans="1:23" ht="12.75" customHeight="1" x14ac:dyDescent="0.2"/>
    <row r="167" spans="1:23" ht="13.5" customHeight="1" x14ac:dyDescent="0.2"/>
    <row r="169" spans="1:23" x14ac:dyDescent="0.2">
      <c r="C169" s="1" t="s">
        <v>209</v>
      </c>
    </row>
    <row r="170" spans="1:23" x14ac:dyDescent="0.2">
      <c r="C170" s="225" t="s">
        <v>243</v>
      </c>
      <c r="D170" s="198" t="s">
        <v>256</v>
      </c>
      <c r="E170" s="181">
        <f>SUM(D5)</f>
        <v>884</v>
      </c>
      <c r="F170" s="181">
        <f>SUM(E5)</f>
        <v>184</v>
      </c>
      <c r="G170" s="196"/>
      <c r="H170" s="196"/>
      <c r="I170" s="196"/>
      <c r="J170" s="196"/>
      <c r="K170" s="196"/>
      <c r="L170" s="196"/>
      <c r="M170" s="196"/>
      <c r="N170" s="196"/>
      <c r="O170" s="196"/>
      <c r="P170" s="196"/>
      <c r="Q170" s="93">
        <f>SUM(Q5)</f>
        <v>2087718.5872500006</v>
      </c>
      <c r="R170" s="93">
        <f>SUM(R5)</f>
        <v>1160329.3152000001</v>
      </c>
      <c r="S170" s="195">
        <f>SUM(S5)</f>
        <v>3248047.9024500009</v>
      </c>
      <c r="W170" s="92" t="s">
        <v>244</v>
      </c>
    </row>
    <row r="171" spans="1:23" x14ac:dyDescent="0.2">
      <c r="C171" s="351" t="s">
        <v>241</v>
      </c>
      <c r="D171" s="198" t="s">
        <v>275</v>
      </c>
      <c r="E171" s="181">
        <f>SUM(D31)</f>
        <v>880</v>
      </c>
      <c r="F171" s="181">
        <f>SUM(E31)</f>
        <v>237</v>
      </c>
      <c r="G171" s="196"/>
      <c r="H171" s="196"/>
      <c r="I171" s="196"/>
      <c r="J171" s="196"/>
      <c r="K171" s="196"/>
      <c r="L171" s="196"/>
      <c r="M171" s="196"/>
      <c r="N171" s="196"/>
      <c r="O171" s="196"/>
      <c r="P171" s="196"/>
      <c r="Q171" s="93">
        <f>SUM(Q31)</f>
        <v>3744937.9750000001</v>
      </c>
      <c r="R171" s="93">
        <f t="shared" ref="R171:S171" si="20">SUM(R31)</f>
        <v>1178514.2159999998</v>
      </c>
      <c r="S171" s="93">
        <f t="shared" si="20"/>
        <v>4923452.1909999996</v>
      </c>
      <c r="W171" s="92" t="s">
        <v>266</v>
      </c>
    </row>
    <row r="172" spans="1:23" ht="25.5" x14ac:dyDescent="0.2">
      <c r="C172" s="351"/>
      <c r="D172" s="198" t="s">
        <v>274</v>
      </c>
      <c r="E172" s="181">
        <f>SUM(D60)</f>
        <v>1412</v>
      </c>
      <c r="F172" s="181">
        <f>SUM(E60)</f>
        <v>369</v>
      </c>
      <c r="H172" s="196"/>
      <c r="I172" s="196"/>
      <c r="M172" s="9"/>
      <c r="N172" s="9"/>
      <c r="O172" s="9"/>
      <c r="Q172" s="93">
        <f>SUM(Q60)</f>
        <v>6050369.0522500016</v>
      </c>
      <c r="R172" s="93">
        <f t="shared" ref="R172:S172" si="21">SUM(R60)</f>
        <v>1886070.2256</v>
      </c>
      <c r="S172" s="93">
        <f t="shared" si="21"/>
        <v>7936439.2778500021</v>
      </c>
      <c r="W172" s="92" t="s">
        <v>273</v>
      </c>
    </row>
    <row r="173" spans="1:23" x14ac:dyDescent="0.2">
      <c r="D173" s="95" t="s">
        <v>263</v>
      </c>
      <c r="E173" s="95">
        <f>SUM(E41,E42,E70,E71,E72,E106,E107,E108,E135,E136,E149,E150,E151,E164,E165)</f>
        <v>948</v>
      </c>
      <c r="F173" s="95">
        <f>SUM(F41,F42,F70,F71,F72,F106,F107,F108,F135,F136,F149,F150,F151,F164,F165)</f>
        <v>276</v>
      </c>
      <c r="Q173" s="93">
        <f t="shared" ref="Q173:S173" si="22">SUM(Q41,Q42,Q70,Q71,Q72,Q106,Q107,Q108,Q135,Q136,Q149,Q150,Q151,Q164,Q165)</f>
        <v>1395776</v>
      </c>
      <c r="R173" s="93">
        <f t="shared" si="22"/>
        <v>2876467.5450000004</v>
      </c>
      <c r="S173" s="93">
        <f t="shared" si="22"/>
        <v>4272243.5449999999</v>
      </c>
      <c r="W173" s="92" t="s">
        <v>263</v>
      </c>
    </row>
    <row r="174" spans="1:23" x14ac:dyDescent="0.2">
      <c r="D174" s="190" t="s">
        <v>25</v>
      </c>
      <c r="E174" s="190">
        <f>SUM(E170:E173)</f>
        <v>4124</v>
      </c>
      <c r="F174" s="190">
        <f>SUM(F170:F173)</f>
        <v>1066</v>
      </c>
      <c r="Q174" s="176">
        <f>SUM(Q170:Q173)</f>
        <v>13278801.614500001</v>
      </c>
      <c r="R174" s="176">
        <f>SUM(R170:R173)</f>
        <v>7101381.3017999995</v>
      </c>
      <c r="S174" s="176">
        <f>SUM(S170:S173)</f>
        <v>20380182.916300002</v>
      </c>
    </row>
    <row r="177" spans="3:19" x14ac:dyDescent="0.2">
      <c r="C177" s="199" t="s">
        <v>141</v>
      </c>
      <c r="D177" s="200" t="s">
        <v>167</v>
      </c>
      <c r="E177" s="201">
        <v>7</v>
      </c>
      <c r="F177" s="201">
        <v>1</v>
      </c>
      <c r="Q177" s="204">
        <v>7909.9999999999991</v>
      </c>
      <c r="R177" s="204">
        <v>14848.199999999997</v>
      </c>
      <c r="S177" s="204">
        <v>22758.199999999997</v>
      </c>
    </row>
    <row r="178" spans="3:19" x14ac:dyDescent="0.2">
      <c r="C178" s="199" t="s">
        <v>141</v>
      </c>
      <c r="D178" s="200" t="s">
        <v>168</v>
      </c>
      <c r="E178" s="201">
        <v>9</v>
      </c>
      <c r="F178" s="201">
        <v>3</v>
      </c>
      <c r="Q178" s="204">
        <v>12882</v>
      </c>
      <c r="R178" s="204">
        <v>27840.375</v>
      </c>
      <c r="S178" s="204">
        <v>40722.375</v>
      </c>
    </row>
    <row r="179" spans="3:19" x14ac:dyDescent="0.2">
      <c r="C179" s="199" t="s">
        <v>141</v>
      </c>
      <c r="D179" s="200" t="s">
        <v>169</v>
      </c>
      <c r="E179" s="201">
        <v>6</v>
      </c>
      <c r="F179" s="201">
        <v>2</v>
      </c>
      <c r="Q179" s="204">
        <v>8588</v>
      </c>
      <c r="R179" s="204">
        <v>18560.25</v>
      </c>
      <c r="S179" s="204">
        <v>27148.25</v>
      </c>
    </row>
    <row r="180" spans="3:19" x14ac:dyDescent="0.2">
      <c r="C180" s="199" t="s">
        <v>141</v>
      </c>
      <c r="D180" s="200" t="s">
        <v>170</v>
      </c>
      <c r="E180" s="201">
        <v>48</v>
      </c>
      <c r="F180" s="201">
        <v>10</v>
      </c>
      <c r="Q180" s="204">
        <v>56952</v>
      </c>
      <c r="R180" s="204">
        <v>112846.31999999999</v>
      </c>
      <c r="S180" s="204">
        <v>169798.32</v>
      </c>
    </row>
    <row r="181" spans="3:19" x14ac:dyDescent="0.2">
      <c r="C181" s="199" t="s">
        <v>141</v>
      </c>
      <c r="D181" s="201" t="s">
        <v>175</v>
      </c>
      <c r="E181" s="201">
        <v>39</v>
      </c>
      <c r="F181" s="201">
        <v>10</v>
      </c>
      <c r="Q181" s="204">
        <v>50172</v>
      </c>
      <c r="R181" s="204">
        <v>103937.4</v>
      </c>
      <c r="S181" s="204">
        <v>154109.4</v>
      </c>
    </row>
    <row r="182" spans="3:19" ht="25.5" x14ac:dyDescent="0.2">
      <c r="C182" s="199" t="s">
        <v>141</v>
      </c>
      <c r="D182" s="201" t="s">
        <v>176</v>
      </c>
      <c r="E182" s="201">
        <v>2</v>
      </c>
      <c r="F182" s="201">
        <v>1</v>
      </c>
      <c r="Q182" s="204">
        <v>4294</v>
      </c>
      <c r="R182" s="204">
        <v>9280.125</v>
      </c>
      <c r="S182" s="204">
        <v>13574.125</v>
      </c>
    </row>
    <row r="183" spans="3:19" ht="25.5" x14ac:dyDescent="0.2">
      <c r="C183" s="199" t="s">
        <v>141</v>
      </c>
      <c r="D183" s="201" t="s">
        <v>178</v>
      </c>
      <c r="E183" s="201">
        <v>8</v>
      </c>
      <c r="F183" s="201">
        <v>2</v>
      </c>
      <c r="Q183" s="204">
        <v>8588</v>
      </c>
      <c r="R183" s="204">
        <v>18560.25</v>
      </c>
      <c r="S183" s="204">
        <v>27148.25</v>
      </c>
    </row>
    <row r="184" spans="3:19" x14ac:dyDescent="0.2">
      <c r="C184" s="206" t="s">
        <v>261</v>
      </c>
      <c r="D184" s="209"/>
      <c r="E184" s="205">
        <f>SUM(E177:E183)</f>
        <v>119</v>
      </c>
      <c r="F184" s="205">
        <f>SUM(F177:F183)</f>
        <v>29</v>
      </c>
      <c r="Q184" s="216">
        <f>SUM(Q177:Q183)</f>
        <v>149386</v>
      </c>
      <c r="R184" s="216">
        <f>SUM(R177:R183)</f>
        <v>305872.92</v>
      </c>
      <c r="S184" s="216">
        <f>SUM(S177:S183)</f>
        <v>455258.92000000004</v>
      </c>
    </row>
    <row r="185" spans="3:19" x14ac:dyDescent="0.2">
      <c r="C185" s="202" t="s">
        <v>140</v>
      </c>
      <c r="D185" s="203" t="s">
        <v>167</v>
      </c>
      <c r="E185" s="203">
        <v>133</v>
      </c>
      <c r="F185" s="203">
        <v>41</v>
      </c>
      <c r="Q185" s="208">
        <v>204982</v>
      </c>
      <c r="R185" s="208">
        <v>425029.72499999998</v>
      </c>
      <c r="S185" s="208">
        <v>630011.72499999998</v>
      </c>
    </row>
    <row r="186" spans="3:19" ht="25.5" x14ac:dyDescent="0.2">
      <c r="C186" s="202" t="s">
        <v>140</v>
      </c>
      <c r="D186" s="203" t="s">
        <v>170</v>
      </c>
      <c r="E186" s="203">
        <v>118</v>
      </c>
      <c r="F186" s="203">
        <v>32</v>
      </c>
      <c r="Q186" s="208">
        <v>172664</v>
      </c>
      <c r="R186" s="208">
        <v>348190.29</v>
      </c>
      <c r="S186" s="208">
        <v>520854.29</v>
      </c>
    </row>
    <row r="187" spans="3:19" x14ac:dyDescent="0.2">
      <c r="C187" s="202" t="s">
        <v>140</v>
      </c>
      <c r="D187" s="203" t="s">
        <v>174</v>
      </c>
      <c r="E187" s="203">
        <v>34</v>
      </c>
      <c r="F187" s="203">
        <v>8</v>
      </c>
      <c r="Q187" s="208">
        <v>41584</v>
      </c>
      <c r="R187" s="208">
        <v>85377.15</v>
      </c>
      <c r="S187" s="208">
        <v>126961.15</v>
      </c>
    </row>
    <row r="188" spans="3:19" ht="25.5" x14ac:dyDescent="0.2">
      <c r="C188" s="202" t="s">
        <v>140</v>
      </c>
      <c r="D188" s="203" t="s">
        <v>178</v>
      </c>
      <c r="E188" s="203">
        <v>65</v>
      </c>
      <c r="F188" s="203">
        <v>16</v>
      </c>
      <c r="Q188" s="208">
        <v>83168</v>
      </c>
      <c r="R188" s="208">
        <v>170754.3</v>
      </c>
      <c r="S188" s="208">
        <v>253922.3</v>
      </c>
    </row>
    <row r="189" spans="3:19" x14ac:dyDescent="0.2">
      <c r="C189" s="210" t="s">
        <v>260</v>
      </c>
      <c r="D189" s="211"/>
      <c r="E189" s="211">
        <f>SUM(E185:E188)</f>
        <v>350</v>
      </c>
      <c r="F189" s="211">
        <f>SUM(F185:F188)</f>
        <v>97</v>
      </c>
      <c r="Q189" s="215">
        <f>SUM(Q185:Q188)</f>
        <v>502398</v>
      </c>
      <c r="R189" s="215">
        <f>SUM(R185:R188)</f>
        <v>1029351.4649999999</v>
      </c>
      <c r="S189" s="215">
        <f>SUM(S185:S188)</f>
        <v>1531749.4649999999</v>
      </c>
    </row>
    <row r="190" spans="3:19" x14ac:dyDescent="0.2">
      <c r="C190" s="143" t="s">
        <v>72</v>
      </c>
      <c r="D190" s="143" t="s">
        <v>161</v>
      </c>
      <c r="E190" s="143">
        <v>20</v>
      </c>
      <c r="F190" s="143">
        <v>4</v>
      </c>
      <c r="Q190" s="154">
        <v>24408</v>
      </c>
      <c r="R190" s="154">
        <v>48256.649999999994</v>
      </c>
      <c r="S190" s="154">
        <v>72664.649999999994</v>
      </c>
    </row>
    <row r="191" spans="3:19" x14ac:dyDescent="0.2">
      <c r="C191" s="143" t="s">
        <v>72</v>
      </c>
      <c r="D191" s="143" t="s">
        <v>165</v>
      </c>
      <c r="E191" s="143">
        <v>1</v>
      </c>
      <c r="F191" s="143">
        <v>1</v>
      </c>
      <c r="Q191" s="154">
        <v>4294</v>
      </c>
      <c r="R191" s="154">
        <v>9280.125</v>
      </c>
      <c r="S191" s="154">
        <v>13574.125</v>
      </c>
    </row>
    <row r="192" spans="3:19" x14ac:dyDescent="0.2">
      <c r="C192" s="143" t="s">
        <v>72</v>
      </c>
      <c r="D192" s="143" t="s">
        <v>166</v>
      </c>
      <c r="E192" s="143">
        <v>43</v>
      </c>
      <c r="F192" s="143">
        <v>5</v>
      </c>
      <c r="Q192" s="154">
        <v>45878</v>
      </c>
      <c r="R192" s="154">
        <v>80922.689999999988</v>
      </c>
      <c r="S192" s="154">
        <v>126800.68999999999</v>
      </c>
    </row>
    <row r="193" spans="3:19" x14ac:dyDescent="0.2">
      <c r="C193" s="143" t="s">
        <v>72</v>
      </c>
      <c r="D193" s="143" t="s">
        <v>167</v>
      </c>
      <c r="E193" s="143">
        <v>13</v>
      </c>
      <c r="F193" s="143">
        <v>4</v>
      </c>
      <c r="Q193" s="154">
        <v>20792</v>
      </c>
      <c r="R193" s="154">
        <v>42688.574999999997</v>
      </c>
      <c r="S193" s="154">
        <v>63480.574999999997</v>
      </c>
    </row>
    <row r="194" spans="3:19" x14ac:dyDescent="0.2">
      <c r="C194" s="143" t="s">
        <v>72</v>
      </c>
      <c r="D194" s="143" t="s">
        <v>168</v>
      </c>
      <c r="E194" s="143">
        <v>72</v>
      </c>
      <c r="F194" s="143">
        <v>24</v>
      </c>
      <c r="Q194" s="154">
        <v>117068</v>
      </c>
      <c r="R194" s="154">
        <v>242768.07</v>
      </c>
      <c r="S194" s="154">
        <v>359836.07</v>
      </c>
    </row>
    <row r="195" spans="3:19" x14ac:dyDescent="0.2">
      <c r="C195" s="143" t="s">
        <v>72</v>
      </c>
      <c r="D195" s="143" t="s">
        <v>169</v>
      </c>
      <c r="E195" s="143">
        <v>46</v>
      </c>
      <c r="F195" s="143">
        <v>15</v>
      </c>
      <c r="Q195" s="154">
        <v>75258</v>
      </c>
      <c r="R195" s="154">
        <v>155906.09999999998</v>
      </c>
      <c r="S195" s="154">
        <v>231164.09999999998</v>
      </c>
    </row>
    <row r="196" spans="3:19" ht="25.5" x14ac:dyDescent="0.2">
      <c r="C196" s="143" t="s">
        <v>72</v>
      </c>
      <c r="D196" s="143" t="s">
        <v>170</v>
      </c>
      <c r="E196" s="143">
        <v>69</v>
      </c>
      <c r="F196" s="143">
        <v>25</v>
      </c>
      <c r="Q196" s="154">
        <v>114582</v>
      </c>
      <c r="R196" s="154">
        <v>243139.27499999999</v>
      </c>
      <c r="S196" s="154">
        <v>357721.27500000002</v>
      </c>
    </row>
    <row r="197" spans="3:19" x14ac:dyDescent="0.2">
      <c r="C197" s="143" t="s">
        <v>72</v>
      </c>
      <c r="D197" s="143" t="s">
        <v>172</v>
      </c>
      <c r="E197" s="143">
        <v>7</v>
      </c>
      <c r="F197" s="143">
        <v>2</v>
      </c>
      <c r="Q197" s="154">
        <v>8588</v>
      </c>
      <c r="R197" s="154">
        <v>18560.25</v>
      </c>
      <c r="S197" s="154">
        <v>27148.25</v>
      </c>
    </row>
    <row r="198" spans="3:19" x14ac:dyDescent="0.2">
      <c r="C198" s="143" t="s">
        <v>72</v>
      </c>
      <c r="D198" s="143" t="s">
        <v>175</v>
      </c>
      <c r="E198" s="143">
        <v>170</v>
      </c>
      <c r="F198" s="143">
        <v>51</v>
      </c>
      <c r="Q198" s="154">
        <v>247922</v>
      </c>
      <c r="R198" s="154">
        <v>517830.97499999998</v>
      </c>
      <c r="S198" s="154">
        <v>765752.97499999998</v>
      </c>
    </row>
    <row r="199" spans="3:19" ht="25.5" x14ac:dyDescent="0.2">
      <c r="C199" s="143" t="s">
        <v>72</v>
      </c>
      <c r="D199" s="143" t="s">
        <v>176</v>
      </c>
      <c r="E199" s="143">
        <v>19</v>
      </c>
      <c r="F199" s="143">
        <v>9</v>
      </c>
      <c r="Q199" s="154">
        <v>42262</v>
      </c>
      <c r="R199" s="154">
        <v>89089.2</v>
      </c>
      <c r="S199" s="154">
        <v>131351.20000000001</v>
      </c>
    </row>
    <row r="200" spans="3:19" ht="25.5" x14ac:dyDescent="0.2">
      <c r="C200" s="143" t="s">
        <v>72</v>
      </c>
      <c r="D200" s="143" t="s">
        <v>178</v>
      </c>
      <c r="E200" s="143">
        <v>19</v>
      </c>
      <c r="F200" s="143">
        <v>10</v>
      </c>
      <c r="Q200" s="154">
        <v>42940</v>
      </c>
      <c r="R200" s="154">
        <v>92801.25</v>
      </c>
      <c r="S200" s="154">
        <v>135741.25</v>
      </c>
    </row>
    <row r="201" spans="3:19" x14ac:dyDescent="0.2">
      <c r="C201" s="212" t="s">
        <v>262</v>
      </c>
      <c r="D201" s="213"/>
      <c r="E201" s="212">
        <f>SUM(E190:E200)</f>
        <v>479</v>
      </c>
      <c r="F201" s="212">
        <f>SUM(F190:F200)</f>
        <v>150</v>
      </c>
      <c r="Q201" s="214">
        <f>SUM(Q190:Q200)</f>
        <v>743992</v>
      </c>
      <c r="R201" s="214">
        <f t="shared" ref="R201:S201" si="23">SUM(R190:R200)</f>
        <v>1541243.16</v>
      </c>
      <c r="S201" s="214">
        <f t="shared" si="23"/>
        <v>2285235.16</v>
      </c>
    </row>
    <row r="202" spans="3:19" x14ac:dyDescent="0.2">
      <c r="Q202" s="176">
        <f>SUM(Q201,Q189,Q184)</f>
        <v>1395776</v>
      </c>
      <c r="R202" s="176">
        <f>SUM(R201,R189,R184)</f>
        <v>2876467.5449999999</v>
      </c>
      <c r="S202" s="176">
        <f>SUM(S201,S189,S184)</f>
        <v>4272243.5449999999</v>
      </c>
    </row>
    <row r="203" spans="3:19" x14ac:dyDescent="0.2">
      <c r="Q203" s="1"/>
    </row>
    <row r="204" spans="3:19" x14ac:dyDescent="0.2">
      <c r="Q204" s="9"/>
      <c r="R204" s="9"/>
      <c r="S204" s="9"/>
    </row>
    <row r="209" spans="17:17" x14ac:dyDescent="0.2">
      <c r="Q209" s="1"/>
    </row>
    <row r="210" spans="17:17" x14ac:dyDescent="0.2">
      <c r="Q210" s="1"/>
    </row>
    <row r="211" spans="17:17" x14ac:dyDescent="0.2">
      <c r="Q211" s="1"/>
    </row>
  </sheetData>
  <autoFilter ref="A2:X165" xr:uid="{00000000-0001-0000-0200-000000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466">
    <mergeCell ref="W133:W136"/>
    <mergeCell ref="W29:W42"/>
    <mergeCell ref="C41:C42"/>
    <mergeCell ref="C39:C40"/>
    <mergeCell ref="D39:D40"/>
    <mergeCell ref="E39:E40"/>
    <mergeCell ref="H39:H40"/>
    <mergeCell ref="I39:I40"/>
    <mergeCell ref="J39:J40"/>
    <mergeCell ref="K39:K40"/>
    <mergeCell ref="L39:L40"/>
    <mergeCell ref="C29:C30"/>
    <mergeCell ref="D29:D30"/>
    <mergeCell ref="E29:E30"/>
    <mergeCell ref="H29:H30"/>
    <mergeCell ref="I29:I30"/>
    <mergeCell ref="C31:C38"/>
    <mergeCell ref="D31:D38"/>
    <mergeCell ref="E31:E38"/>
    <mergeCell ref="F31:F38"/>
    <mergeCell ref="G31:G38"/>
    <mergeCell ref="H31:H33"/>
    <mergeCell ref="N133:N134"/>
    <mergeCell ref="U133:U136"/>
    <mergeCell ref="L162:L163"/>
    <mergeCell ref="M162:M163"/>
    <mergeCell ref="N162:N163"/>
    <mergeCell ref="U162:U165"/>
    <mergeCell ref="V162:V165"/>
    <mergeCell ref="W162:W165"/>
    <mergeCell ref="C164:C165"/>
    <mergeCell ref="O164:O165"/>
    <mergeCell ref="Q164:Q165"/>
    <mergeCell ref="S164:S165"/>
    <mergeCell ref="T164:T165"/>
    <mergeCell ref="H160:H161"/>
    <mergeCell ref="B162:B165"/>
    <mergeCell ref="C162:C163"/>
    <mergeCell ref="D162:D163"/>
    <mergeCell ref="E162:E163"/>
    <mergeCell ref="H162:H163"/>
    <mergeCell ref="I162:I163"/>
    <mergeCell ref="J162:J163"/>
    <mergeCell ref="K162:K163"/>
    <mergeCell ref="A152:A165"/>
    <mergeCell ref="B152:B161"/>
    <mergeCell ref="C152:C153"/>
    <mergeCell ref="D152:D153"/>
    <mergeCell ref="E152:E153"/>
    <mergeCell ref="H152:H153"/>
    <mergeCell ref="I152:I153"/>
    <mergeCell ref="U152:U161"/>
    <mergeCell ref="V152:V161"/>
    <mergeCell ref="C154:C161"/>
    <mergeCell ref="D154:D161"/>
    <mergeCell ref="E154:E161"/>
    <mergeCell ref="F154:F161"/>
    <mergeCell ref="G154:G161"/>
    <mergeCell ref="H154:H156"/>
    <mergeCell ref="K154:K161"/>
    <mergeCell ref="L154:L161"/>
    <mergeCell ref="O154:O161"/>
    <mergeCell ref="P154:P161"/>
    <mergeCell ref="Q154:Q161"/>
    <mergeCell ref="R154:R161"/>
    <mergeCell ref="S154:S161"/>
    <mergeCell ref="T154:T161"/>
    <mergeCell ref="H157:H159"/>
    <mergeCell ref="N147:N148"/>
    <mergeCell ref="U147:U151"/>
    <mergeCell ref="V147:V151"/>
    <mergeCell ref="W147:W151"/>
    <mergeCell ref="C149:C151"/>
    <mergeCell ref="O149:O151"/>
    <mergeCell ref="Q149:Q151"/>
    <mergeCell ref="S149:S151"/>
    <mergeCell ref="T149:T151"/>
    <mergeCell ref="C147:C148"/>
    <mergeCell ref="D147:D148"/>
    <mergeCell ref="E147:E148"/>
    <mergeCell ref="H147:H148"/>
    <mergeCell ref="I147:I148"/>
    <mergeCell ref="J147:J148"/>
    <mergeCell ref="K147:K148"/>
    <mergeCell ref="L147:L148"/>
    <mergeCell ref="M147:M148"/>
    <mergeCell ref="C137:C138"/>
    <mergeCell ref="D137:D138"/>
    <mergeCell ref="E137:E138"/>
    <mergeCell ref="H137:H138"/>
    <mergeCell ref="I137:I138"/>
    <mergeCell ref="U137:U146"/>
    <mergeCell ref="V137:V146"/>
    <mergeCell ref="C139:C146"/>
    <mergeCell ref="D139:D146"/>
    <mergeCell ref="E139:E146"/>
    <mergeCell ref="F139:F146"/>
    <mergeCell ref="G139:G146"/>
    <mergeCell ref="H139:H141"/>
    <mergeCell ref="K139:K146"/>
    <mergeCell ref="L139:L146"/>
    <mergeCell ref="O139:O146"/>
    <mergeCell ref="P139:P146"/>
    <mergeCell ref="Q139:Q146"/>
    <mergeCell ref="R139:R146"/>
    <mergeCell ref="S139:S146"/>
    <mergeCell ref="T139:T146"/>
    <mergeCell ref="H142:H144"/>
    <mergeCell ref="H145:H146"/>
    <mergeCell ref="V133:V136"/>
    <mergeCell ref="C135:C136"/>
    <mergeCell ref="O135:O136"/>
    <mergeCell ref="Q135:Q136"/>
    <mergeCell ref="S135:S136"/>
    <mergeCell ref="T135:T136"/>
    <mergeCell ref="C133:C134"/>
    <mergeCell ref="D133:D134"/>
    <mergeCell ref="E133:E134"/>
    <mergeCell ref="H133:H134"/>
    <mergeCell ref="I133:I134"/>
    <mergeCell ref="J133:J134"/>
    <mergeCell ref="K133:K134"/>
    <mergeCell ref="L133:L134"/>
    <mergeCell ref="M133:M134"/>
    <mergeCell ref="U119:U132"/>
    <mergeCell ref="V119:V132"/>
    <mergeCell ref="C121:C128"/>
    <mergeCell ref="D121:D128"/>
    <mergeCell ref="E121:E128"/>
    <mergeCell ref="F121:F128"/>
    <mergeCell ref="G121:G128"/>
    <mergeCell ref="H121:H123"/>
    <mergeCell ref="K121:K128"/>
    <mergeCell ref="L121:L128"/>
    <mergeCell ref="O121:O128"/>
    <mergeCell ref="P121:P128"/>
    <mergeCell ref="Q121:Q128"/>
    <mergeCell ref="R121:R128"/>
    <mergeCell ref="S121:S128"/>
    <mergeCell ref="T121:T128"/>
    <mergeCell ref="H124:H126"/>
    <mergeCell ref="H127:H128"/>
    <mergeCell ref="C129:C130"/>
    <mergeCell ref="D129:D130"/>
    <mergeCell ref="E129:E130"/>
    <mergeCell ref="H129:H130"/>
    <mergeCell ref="I129:I130"/>
    <mergeCell ref="J129:J130"/>
    <mergeCell ref="T111:T118"/>
    <mergeCell ref="H114:H116"/>
    <mergeCell ref="H117:H118"/>
    <mergeCell ref="B119:B132"/>
    <mergeCell ref="C119:C120"/>
    <mergeCell ref="D119:D120"/>
    <mergeCell ref="E119:E120"/>
    <mergeCell ref="H119:H120"/>
    <mergeCell ref="I119:I120"/>
    <mergeCell ref="K129:K130"/>
    <mergeCell ref="L129:L130"/>
    <mergeCell ref="M129:M130"/>
    <mergeCell ref="N129:N130"/>
    <mergeCell ref="C131:C132"/>
    <mergeCell ref="O131:O132"/>
    <mergeCell ref="Q131:Q132"/>
    <mergeCell ref="S131:S132"/>
    <mergeCell ref="T131:T132"/>
    <mergeCell ref="W104:W108"/>
    <mergeCell ref="A109:A136"/>
    <mergeCell ref="B109:B118"/>
    <mergeCell ref="C109:C110"/>
    <mergeCell ref="D109:D110"/>
    <mergeCell ref="E109:E110"/>
    <mergeCell ref="H109:H110"/>
    <mergeCell ref="I109:I110"/>
    <mergeCell ref="U109:U118"/>
    <mergeCell ref="V109:V118"/>
    <mergeCell ref="C111:C118"/>
    <mergeCell ref="D111:D118"/>
    <mergeCell ref="E111:E118"/>
    <mergeCell ref="F111:F118"/>
    <mergeCell ref="G111:G118"/>
    <mergeCell ref="H111:H113"/>
    <mergeCell ref="K111:K118"/>
    <mergeCell ref="L111:L118"/>
    <mergeCell ref="O111:O118"/>
    <mergeCell ref="P111:P118"/>
    <mergeCell ref="Q111:Q118"/>
    <mergeCell ref="N104:N105"/>
    <mergeCell ref="R111:R118"/>
    <mergeCell ref="S111:S118"/>
    <mergeCell ref="T70:T72"/>
    <mergeCell ref="C106:C108"/>
    <mergeCell ref="O106:O108"/>
    <mergeCell ref="Q106:Q108"/>
    <mergeCell ref="S106:S108"/>
    <mergeCell ref="T106:T108"/>
    <mergeCell ref="C102:C103"/>
    <mergeCell ref="O102:O103"/>
    <mergeCell ref="Q102:Q103"/>
    <mergeCell ref="S102:S103"/>
    <mergeCell ref="T102:T103"/>
    <mergeCell ref="C104:C105"/>
    <mergeCell ref="D104:D105"/>
    <mergeCell ref="E104:E105"/>
    <mergeCell ref="H104:H105"/>
    <mergeCell ref="I104:I105"/>
    <mergeCell ref="J104:J105"/>
    <mergeCell ref="K104:K105"/>
    <mergeCell ref="L104:L105"/>
    <mergeCell ref="M104:M105"/>
    <mergeCell ref="M100:M101"/>
    <mergeCell ref="N100:N101"/>
    <mergeCell ref="D100:D101"/>
    <mergeCell ref="C92:C99"/>
    <mergeCell ref="D92:D99"/>
    <mergeCell ref="I80:I81"/>
    <mergeCell ref="C70:C72"/>
    <mergeCell ref="O70:O72"/>
    <mergeCell ref="Q70:Q72"/>
    <mergeCell ref="C75:C79"/>
    <mergeCell ref="C73:C74"/>
    <mergeCell ref="E92:E99"/>
    <mergeCell ref="F92:F99"/>
    <mergeCell ref="G92:G99"/>
    <mergeCell ref="H92:H94"/>
    <mergeCell ref="H85:H87"/>
    <mergeCell ref="H88:H89"/>
    <mergeCell ref="C80:C81"/>
    <mergeCell ref="D80:D81"/>
    <mergeCell ref="E80:E81"/>
    <mergeCell ref="H80:H81"/>
    <mergeCell ref="C82:C89"/>
    <mergeCell ref="D82:D89"/>
    <mergeCell ref="E82:E89"/>
    <mergeCell ref="F82:F89"/>
    <mergeCell ref="G82:G89"/>
    <mergeCell ref="H82:H84"/>
    <mergeCell ref="K82:K89"/>
    <mergeCell ref="U104:U108"/>
    <mergeCell ref="V104:V108"/>
    <mergeCell ref="O75:O79"/>
    <mergeCell ref="Q75:Q79"/>
    <mergeCell ref="S75:S79"/>
    <mergeCell ref="T75:T79"/>
    <mergeCell ref="C90:C91"/>
    <mergeCell ref="D90:D91"/>
    <mergeCell ref="E90:E91"/>
    <mergeCell ref="H90:H91"/>
    <mergeCell ref="I90:I91"/>
    <mergeCell ref="C100:C101"/>
    <mergeCell ref="E100:E101"/>
    <mergeCell ref="H100:H101"/>
    <mergeCell ref="I100:I101"/>
    <mergeCell ref="J100:J101"/>
    <mergeCell ref="K100:K101"/>
    <mergeCell ref="L100:L101"/>
    <mergeCell ref="K92:K99"/>
    <mergeCell ref="L92:L99"/>
    <mergeCell ref="O92:O99"/>
    <mergeCell ref="H95:H97"/>
    <mergeCell ref="H98:H99"/>
    <mergeCell ref="T82:T89"/>
    <mergeCell ref="L82:L89"/>
    <mergeCell ref="O82:O89"/>
    <mergeCell ref="C68:C69"/>
    <mergeCell ref="K68:K69"/>
    <mergeCell ref="L68:L69"/>
    <mergeCell ref="M68:M69"/>
    <mergeCell ref="N68:N69"/>
    <mergeCell ref="C58:C59"/>
    <mergeCell ref="K73:K74"/>
    <mergeCell ref="L73:L74"/>
    <mergeCell ref="M73:M74"/>
    <mergeCell ref="N73:N74"/>
    <mergeCell ref="D58:D59"/>
    <mergeCell ref="E58:E59"/>
    <mergeCell ref="H58:H59"/>
    <mergeCell ref="I58:I59"/>
    <mergeCell ref="D73:D74"/>
    <mergeCell ref="E73:E74"/>
    <mergeCell ref="H73:H74"/>
    <mergeCell ref="I73:I74"/>
    <mergeCell ref="J73:J74"/>
    <mergeCell ref="D68:D69"/>
    <mergeCell ref="E68:E69"/>
    <mergeCell ref="H68:H69"/>
    <mergeCell ref="I68:I69"/>
    <mergeCell ref="J68:J69"/>
    <mergeCell ref="C60:C67"/>
    <mergeCell ref="D60:D67"/>
    <mergeCell ref="E60:E67"/>
    <mergeCell ref="F60:F67"/>
    <mergeCell ref="G60:G67"/>
    <mergeCell ref="H60:H62"/>
    <mergeCell ref="K60:K67"/>
    <mergeCell ref="L60:L67"/>
    <mergeCell ref="O60:O67"/>
    <mergeCell ref="H63:H65"/>
    <mergeCell ref="H66:H67"/>
    <mergeCell ref="C45:C47"/>
    <mergeCell ref="O45:O47"/>
    <mergeCell ref="Q45:Q47"/>
    <mergeCell ref="S45:S47"/>
    <mergeCell ref="T45:T47"/>
    <mergeCell ref="C48:C49"/>
    <mergeCell ref="D48:D49"/>
    <mergeCell ref="C50:C57"/>
    <mergeCell ref="D50:D57"/>
    <mergeCell ref="E50:E57"/>
    <mergeCell ref="F50:F57"/>
    <mergeCell ref="G50:G57"/>
    <mergeCell ref="H50:H52"/>
    <mergeCell ref="K50:K57"/>
    <mergeCell ref="L50:L57"/>
    <mergeCell ref="E48:E49"/>
    <mergeCell ref="H48:H49"/>
    <mergeCell ref="I48:I49"/>
    <mergeCell ref="C43:C44"/>
    <mergeCell ref="D43:D44"/>
    <mergeCell ref="E43:E44"/>
    <mergeCell ref="H43:H44"/>
    <mergeCell ref="I43:I44"/>
    <mergeCell ref="J43:J44"/>
    <mergeCell ref="K43:K44"/>
    <mergeCell ref="L43:L44"/>
    <mergeCell ref="M43:M44"/>
    <mergeCell ref="N43:N44"/>
    <mergeCell ref="O31:O38"/>
    <mergeCell ref="P31:P38"/>
    <mergeCell ref="Q31:Q38"/>
    <mergeCell ref="R31:R38"/>
    <mergeCell ref="S31:S38"/>
    <mergeCell ref="T31:T38"/>
    <mergeCell ref="H34:H36"/>
    <mergeCell ref="H37:H38"/>
    <mergeCell ref="N39:N40"/>
    <mergeCell ref="M39:M40"/>
    <mergeCell ref="K31:K38"/>
    <mergeCell ref="L31:L38"/>
    <mergeCell ref="B133:B136"/>
    <mergeCell ref="A137:A151"/>
    <mergeCell ref="B137:B146"/>
    <mergeCell ref="B147:B151"/>
    <mergeCell ref="A19:A47"/>
    <mergeCell ref="B19:B28"/>
    <mergeCell ref="B43:B47"/>
    <mergeCell ref="B48:B57"/>
    <mergeCell ref="B58:B72"/>
    <mergeCell ref="A80:A108"/>
    <mergeCell ref="B80:B89"/>
    <mergeCell ref="B90:B103"/>
    <mergeCell ref="B104:B108"/>
    <mergeCell ref="B73:B79"/>
    <mergeCell ref="A48:A79"/>
    <mergeCell ref="B29:B42"/>
    <mergeCell ref="C2:T2"/>
    <mergeCell ref="C3:C4"/>
    <mergeCell ref="D3:D4"/>
    <mergeCell ref="E3:E4"/>
    <mergeCell ref="H3:H4"/>
    <mergeCell ref="I3:I4"/>
    <mergeCell ref="H8:H10"/>
    <mergeCell ref="P5:P12"/>
    <mergeCell ref="Q5:Q12"/>
    <mergeCell ref="R5:R12"/>
    <mergeCell ref="S5:S12"/>
    <mergeCell ref="T5:T12"/>
    <mergeCell ref="O5:O12"/>
    <mergeCell ref="K5:K12"/>
    <mergeCell ref="L5:L12"/>
    <mergeCell ref="H11:H12"/>
    <mergeCell ref="G5:G12"/>
    <mergeCell ref="F5:F12"/>
    <mergeCell ref="E5:E12"/>
    <mergeCell ref="D5:D12"/>
    <mergeCell ref="H5:H7"/>
    <mergeCell ref="B13:B18"/>
    <mergeCell ref="A3:A18"/>
    <mergeCell ref="U13:U18"/>
    <mergeCell ref="V3:V12"/>
    <mergeCell ref="U3:U12"/>
    <mergeCell ref="C5:C12"/>
    <mergeCell ref="L13:L14"/>
    <mergeCell ref="M13:M14"/>
    <mergeCell ref="N13:N14"/>
    <mergeCell ref="B3:B12"/>
    <mergeCell ref="C13:C14"/>
    <mergeCell ref="D13:D14"/>
    <mergeCell ref="E13:E14"/>
    <mergeCell ref="H13:H14"/>
    <mergeCell ref="I13:I14"/>
    <mergeCell ref="J13:J14"/>
    <mergeCell ref="K13:K14"/>
    <mergeCell ref="C15:C18"/>
    <mergeCell ref="W3:W12"/>
    <mergeCell ref="O15:O18"/>
    <mergeCell ref="Q15:Q18"/>
    <mergeCell ref="V13:V18"/>
    <mergeCell ref="S15:S18"/>
    <mergeCell ref="T15:T18"/>
    <mergeCell ref="V43:V47"/>
    <mergeCell ref="U48:U57"/>
    <mergeCell ref="V48:V57"/>
    <mergeCell ref="U43:U47"/>
    <mergeCell ref="Q41:Q42"/>
    <mergeCell ref="U19:U28"/>
    <mergeCell ref="O21:O28"/>
    <mergeCell ref="P21:P28"/>
    <mergeCell ref="Q21:Q28"/>
    <mergeCell ref="R21:R28"/>
    <mergeCell ref="S21:S28"/>
    <mergeCell ref="T21:T28"/>
    <mergeCell ref="O50:O57"/>
    <mergeCell ref="P50:P57"/>
    <mergeCell ref="Q50:Q57"/>
    <mergeCell ref="R50:R57"/>
    <mergeCell ref="S50:S57"/>
    <mergeCell ref="T50:T57"/>
    <mergeCell ref="W58:W72"/>
    <mergeCell ref="U80:U89"/>
    <mergeCell ref="V80:V89"/>
    <mergeCell ref="U73:U79"/>
    <mergeCell ref="V73:V79"/>
    <mergeCell ref="U90:U103"/>
    <mergeCell ref="V90:V103"/>
    <mergeCell ref="P92:P99"/>
    <mergeCell ref="Q92:Q99"/>
    <mergeCell ref="R92:R99"/>
    <mergeCell ref="S92:S99"/>
    <mergeCell ref="T92:T99"/>
    <mergeCell ref="U58:U72"/>
    <mergeCell ref="V58:V72"/>
    <mergeCell ref="P60:P67"/>
    <mergeCell ref="Q60:Q67"/>
    <mergeCell ref="R60:R67"/>
    <mergeCell ref="S60:S67"/>
    <mergeCell ref="T60:T67"/>
    <mergeCell ref="P82:P89"/>
    <mergeCell ref="Q82:Q89"/>
    <mergeCell ref="R82:R89"/>
    <mergeCell ref="S82:S89"/>
    <mergeCell ref="S70:S72"/>
    <mergeCell ref="C19:C20"/>
    <mergeCell ref="D19:D20"/>
    <mergeCell ref="E19:E20"/>
    <mergeCell ref="H19:H20"/>
    <mergeCell ref="I19:I20"/>
    <mergeCell ref="V19:V28"/>
    <mergeCell ref="C21:C28"/>
    <mergeCell ref="D21:D28"/>
    <mergeCell ref="C171:C172"/>
    <mergeCell ref="O41:O42"/>
    <mergeCell ref="S41:S42"/>
    <mergeCell ref="T41:T42"/>
    <mergeCell ref="U29:U42"/>
    <mergeCell ref="V29:V42"/>
    <mergeCell ref="E21:E28"/>
    <mergeCell ref="F21:F28"/>
    <mergeCell ref="G21:G28"/>
    <mergeCell ref="H21:H23"/>
    <mergeCell ref="K21:K28"/>
    <mergeCell ref="L21:L28"/>
    <mergeCell ref="H24:H26"/>
    <mergeCell ref="H27:H28"/>
    <mergeCell ref="H53:H55"/>
    <mergeCell ref="H56:H57"/>
  </mergeCells>
  <phoneticPr fontId="3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ECEE-13F7-4196-94EA-C6BA3F41CDD5}">
  <dimension ref="B1:J85"/>
  <sheetViews>
    <sheetView topLeftCell="A49" workbookViewId="0">
      <selection activeCell="J85" sqref="J85"/>
    </sheetView>
  </sheetViews>
  <sheetFormatPr defaultRowHeight="15" x14ac:dyDescent="0.25"/>
  <cols>
    <col min="1" max="1" width="3.5703125" customWidth="1"/>
    <col min="2" max="2" width="15.28515625" bestFit="1" customWidth="1"/>
    <col min="3" max="3" width="6.28515625" bestFit="1" customWidth="1"/>
    <col min="4" max="4" width="8.85546875" bestFit="1" customWidth="1"/>
    <col min="5" max="5" width="8.7109375" bestFit="1" customWidth="1"/>
    <col min="6" max="6" width="9" bestFit="1" customWidth="1"/>
    <col min="7" max="7" width="8.7109375" bestFit="1" customWidth="1"/>
    <col min="8" max="8" width="11.7109375" bestFit="1" customWidth="1"/>
    <col min="9" max="9" width="10" bestFit="1" customWidth="1"/>
    <col min="10" max="10" width="10.85546875" bestFit="1" customWidth="1"/>
  </cols>
  <sheetData>
    <row r="1" spans="2:10" ht="15.75" thickBot="1" x14ac:dyDescent="0.3"/>
    <row r="2" spans="2:10" ht="15.75" thickBot="1" x14ac:dyDescent="0.3">
      <c r="B2" s="406" t="s">
        <v>257</v>
      </c>
      <c r="C2" s="407"/>
      <c r="D2" s="407"/>
      <c r="E2" s="407"/>
      <c r="F2" s="407"/>
      <c r="G2" s="407"/>
      <c r="H2" s="407"/>
      <c r="I2" s="407"/>
      <c r="J2" s="408"/>
    </row>
    <row r="3" spans="2:10" ht="89.25" x14ac:dyDescent="0.25">
      <c r="B3" s="344" t="s">
        <v>20</v>
      </c>
      <c r="C3" s="393" t="s">
        <v>31</v>
      </c>
      <c r="D3" s="331" t="s">
        <v>1</v>
      </c>
      <c r="E3" s="107" t="s">
        <v>10</v>
      </c>
      <c r="F3" s="107" t="s">
        <v>67</v>
      </c>
      <c r="G3" s="107" t="s">
        <v>15</v>
      </c>
      <c r="H3" s="15" t="s">
        <v>28</v>
      </c>
      <c r="I3" s="15" t="s">
        <v>33</v>
      </c>
      <c r="J3" s="16" t="s">
        <v>34</v>
      </c>
    </row>
    <row r="4" spans="2:10" x14ac:dyDescent="0.25">
      <c r="B4" s="345"/>
      <c r="C4" s="385"/>
      <c r="D4" s="346"/>
      <c r="E4" s="122" t="s">
        <v>11</v>
      </c>
      <c r="F4" s="122" t="s">
        <v>13</v>
      </c>
      <c r="G4" s="122" t="s">
        <v>7</v>
      </c>
      <c r="H4" s="17" t="s">
        <v>7</v>
      </c>
      <c r="I4" s="17" t="s">
        <v>7</v>
      </c>
      <c r="J4" s="18" t="s">
        <v>7</v>
      </c>
    </row>
    <row r="5" spans="2:10" x14ac:dyDescent="0.25">
      <c r="B5" s="110" t="s">
        <v>167</v>
      </c>
      <c r="C5" s="4" t="s">
        <v>17</v>
      </c>
      <c r="D5" s="7">
        <v>7</v>
      </c>
      <c r="E5" s="7">
        <v>1</v>
      </c>
      <c r="F5" s="5">
        <f>PODLAGE!$E$38</f>
        <v>7909.9999999999991</v>
      </c>
      <c r="G5" s="5">
        <f t="shared" ref="G5" si="0">E5*F5</f>
        <v>7909.9999999999991</v>
      </c>
      <c r="H5" s="75">
        <f t="shared" ref="H5:H12" si="1">SUM(G5:G5)</f>
        <v>7909.9999999999991</v>
      </c>
      <c r="I5" s="10">
        <f>E5*PODLAGE!$K$26</f>
        <v>14848.199999999997</v>
      </c>
      <c r="J5" s="71">
        <f t="shared" ref="J5" si="2">SUM(H5:I5)</f>
        <v>22758.199999999997</v>
      </c>
    </row>
    <row r="6" spans="2:10" x14ac:dyDescent="0.25">
      <c r="B6" s="110" t="s">
        <v>168</v>
      </c>
      <c r="C6" s="4" t="s">
        <v>16</v>
      </c>
      <c r="D6" s="7">
        <v>9</v>
      </c>
      <c r="E6" s="7">
        <v>3</v>
      </c>
      <c r="F6" s="5">
        <f>PODLAGE!$E$37</f>
        <v>4294</v>
      </c>
      <c r="G6" s="5">
        <f t="shared" ref="G6:G12" si="3">E6*F6</f>
        <v>12882</v>
      </c>
      <c r="H6" s="75">
        <f t="shared" si="1"/>
        <v>12882</v>
      </c>
      <c r="I6" s="10">
        <f>E6*PODLAGE!$K$25</f>
        <v>27840.375</v>
      </c>
      <c r="J6" s="71">
        <f t="shared" ref="J6:J12" si="4">SUM(H6:I6)</f>
        <v>40722.375</v>
      </c>
    </row>
    <row r="7" spans="2:10" x14ac:dyDescent="0.25">
      <c r="B7" s="110" t="s">
        <v>169</v>
      </c>
      <c r="C7" s="4" t="s">
        <v>16</v>
      </c>
      <c r="D7" s="7">
        <v>6</v>
      </c>
      <c r="E7" s="7">
        <v>2</v>
      </c>
      <c r="F7" s="5">
        <f>PODLAGE!$E$37</f>
        <v>4294</v>
      </c>
      <c r="G7" s="5">
        <f t="shared" ref="G7" si="5">E7*F7</f>
        <v>8588</v>
      </c>
      <c r="H7" s="75">
        <f t="shared" si="1"/>
        <v>8588</v>
      </c>
      <c r="I7" s="10">
        <f>E7*PODLAGE!$K$25</f>
        <v>18560.25</v>
      </c>
      <c r="J7" s="71">
        <f t="shared" ref="J7" si="6">SUM(H7:I7)</f>
        <v>27148.25</v>
      </c>
    </row>
    <row r="8" spans="2:10" x14ac:dyDescent="0.25">
      <c r="B8" s="316" t="s">
        <v>170</v>
      </c>
      <c r="C8" s="4" t="s">
        <v>16</v>
      </c>
      <c r="D8" s="7">
        <v>26</v>
      </c>
      <c r="E8" s="7">
        <v>8</v>
      </c>
      <c r="F8" s="5">
        <f>PODLAGE!$E$37</f>
        <v>4294</v>
      </c>
      <c r="G8" s="5">
        <f t="shared" si="3"/>
        <v>34352</v>
      </c>
      <c r="H8" s="75">
        <f t="shared" si="1"/>
        <v>34352</v>
      </c>
      <c r="I8" s="10">
        <f>E8*PODLAGE!$K$25</f>
        <v>74241</v>
      </c>
      <c r="J8" s="71">
        <f t="shared" si="4"/>
        <v>108593</v>
      </c>
    </row>
    <row r="9" spans="2:10" x14ac:dyDescent="0.25">
      <c r="B9" s="316"/>
      <c r="C9" s="4" t="s">
        <v>17</v>
      </c>
      <c r="D9" s="7">
        <v>7</v>
      </c>
      <c r="E9" s="7">
        <v>1</v>
      </c>
      <c r="F9" s="5">
        <f>PODLAGE!$E$38</f>
        <v>7909.9999999999991</v>
      </c>
      <c r="G9" s="5">
        <f t="shared" si="3"/>
        <v>7909.9999999999991</v>
      </c>
      <c r="H9" s="75">
        <f t="shared" si="1"/>
        <v>7909.9999999999991</v>
      </c>
      <c r="I9" s="10">
        <f>E9*PODLAGE!$K$26</f>
        <v>14848.199999999997</v>
      </c>
      <c r="J9" s="71">
        <f t="shared" si="4"/>
        <v>22758.199999999997</v>
      </c>
    </row>
    <row r="10" spans="2:10" x14ac:dyDescent="0.25">
      <c r="B10" s="316"/>
      <c r="C10" s="4" t="s">
        <v>18</v>
      </c>
      <c r="D10" s="7">
        <v>15</v>
      </c>
      <c r="E10" s="7">
        <v>1</v>
      </c>
      <c r="F10" s="5">
        <f>PODLAGE!$E$39</f>
        <v>14689.999999999998</v>
      </c>
      <c r="G10" s="5">
        <f t="shared" si="3"/>
        <v>14689.999999999998</v>
      </c>
      <c r="H10" s="75">
        <f t="shared" si="1"/>
        <v>14689.999999999998</v>
      </c>
      <c r="I10" s="10">
        <f>E10*PODLAGE!$K$27</f>
        <v>23757.119999999995</v>
      </c>
      <c r="J10" s="71">
        <f t="shared" si="4"/>
        <v>38447.119999999995</v>
      </c>
    </row>
    <row r="11" spans="2:10" x14ac:dyDescent="0.25">
      <c r="B11" s="316" t="s">
        <v>175</v>
      </c>
      <c r="C11" s="4" t="s">
        <v>16</v>
      </c>
      <c r="D11" s="7">
        <v>26</v>
      </c>
      <c r="E11" s="7">
        <v>8</v>
      </c>
      <c r="F11" s="5">
        <f>PODLAGE!$E$37</f>
        <v>4294</v>
      </c>
      <c r="G11" s="5">
        <f t="shared" si="3"/>
        <v>34352</v>
      </c>
      <c r="H11" s="75">
        <f t="shared" si="1"/>
        <v>34352</v>
      </c>
      <c r="I11" s="10">
        <f>E11*PODLAGE!$K$25</f>
        <v>74241</v>
      </c>
      <c r="J11" s="71">
        <f t="shared" si="4"/>
        <v>108593</v>
      </c>
    </row>
    <row r="12" spans="2:10" x14ac:dyDescent="0.25">
      <c r="B12" s="316"/>
      <c r="C12" s="4" t="s">
        <v>17</v>
      </c>
      <c r="D12" s="7">
        <v>13</v>
      </c>
      <c r="E12" s="7">
        <v>2</v>
      </c>
      <c r="F12" s="5">
        <f>PODLAGE!$E$38</f>
        <v>7909.9999999999991</v>
      </c>
      <c r="G12" s="5">
        <f t="shared" si="3"/>
        <v>15819.999999999998</v>
      </c>
      <c r="H12" s="75">
        <f t="shared" si="1"/>
        <v>15819.999999999998</v>
      </c>
      <c r="I12" s="10">
        <f>E12*PODLAGE!$K$26</f>
        <v>29696.399999999994</v>
      </c>
      <c r="J12" s="71">
        <f t="shared" si="4"/>
        <v>45516.399999999994</v>
      </c>
    </row>
    <row r="13" spans="2:10" x14ac:dyDescent="0.25">
      <c r="B13" s="110" t="s">
        <v>176</v>
      </c>
      <c r="C13" s="4" t="s">
        <v>16</v>
      </c>
      <c r="D13" s="7">
        <v>2</v>
      </c>
      <c r="E13" s="7">
        <v>1</v>
      </c>
      <c r="F13" s="5">
        <f>PODLAGE!$E$37</f>
        <v>4294</v>
      </c>
      <c r="G13" s="5">
        <f>E13*F13</f>
        <v>4294</v>
      </c>
      <c r="H13" s="75">
        <f>SUM(G13:G13)</f>
        <v>4294</v>
      </c>
      <c r="I13" s="10">
        <f>E13*PODLAGE!$K$25</f>
        <v>9280.125</v>
      </c>
      <c r="J13" s="71">
        <f>SUM(H13:I13)</f>
        <v>13574.125</v>
      </c>
    </row>
    <row r="14" spans="2:10" ht="26.25" thickBot="1" x14ac:dyDescent="0.3">
      <c r="B14" s="111" t="s">
        <v>178</v>
      </c>
      <c r="C14" s="25" t="s">
        <v>16</v>
      </c>
      <c r="D14" s="28">
        <v>8</v>
      </c>
      <c r="E14" s="28">
        <v>2</v>
      </c>
      <c r="F14" s="26">
        <f>PODLAGE!$E$37</f>
        <v>4294</v>
      </c>
      <c r="G14" s="26">
        <f>E14*F14</f>
        <v>8588</v>
      </c>
      <c r="H14" s="37">
        <f>SUM(G14:G14)</f>
        <v>8588</v>
      </c>
      <c r="I14" s="72">
        <f>E14*PODLAGE!$K$25</f>
        <v>18560.25</v>
      </c>
      <c r="J14" s="73">
        <f>SUM(H14:I14)</f>
        <v>27148.25</v>
      </c>
    </row>
    <row r="15" spans="2:10" x14ac:dyDescent="0.25">
      <c r="B15" s="1"/>
      <c r="C15" s="1"/>
      <c r="D15" s="27"/>
      <c r="E15" s="27"/>
      <c r="F15" s="1"/>
      <c r="G15" s="1"/>
      <c r="H15" s="32"/>
      <c r="I15" s="32"/>
      <c r="J15" s="32"/>
    </row>
    <row r="16" spans="2:10" x14ac:dyDescent="0.25">
      <c r="B16" s="1" t="s">
        <v>209</v>
      </c>
      <c r="C16" s="1"/>
      <c r="D16" s="27"/>
      <c r="E16" s="1"/>
      <c r="F16" s="1"/>
      <c r="G16" s="1"/>
      <c r="H16" s="32"/>
      <c r="I16" s="32"/>
      <c r="J16" s="32"/>
    </row>
    <row r="17" spans="2:10" x14ac:dyDescent="0.25">
      <c r="B17" s="201" t="s">
        <v>167</v>
      </c>
      <c r="C17" s="201"/>
      <c r="D17" s="199">
        <f t="shared" ref="D17:E19" si="7">SUM(D5)</f>
        <v>7</v>
      </c>
      <c r="E17" s="199">
        <f t="shared" si="7"/>
        <v>1</v>
      </c>
      <c r="F17" s="204"/>
      <c r="G17" s="204"/>
      <c r="H17" s="204">
        <f t="shared" ref="H17:J19" si="8">SUM(H5)</f>
        <v>7909.9999999999991</v>
      </c>
      <c r="I17" s="204">
        <f t="shared" si="8"/>
        <v>14848.199999999997</v>
      </c>
      <c r="J17" s="204">
        <f t="shared" si="8"/>
        <v>22758.199999999997</v>
      </c>
    </row>
    <row r="18" spans="2:10" x14ac:dyDescent="0.25">
      <c r="B18" s="201" t="s">
        <v>168</v>
      </c>
      <c r="C18" s="201"/>
      <c r="D18" s="199">
        <f t="shared" si="7"/>
        <v>9</v>
      </c>
      <c r="E18" s="199">
        <f t="shared" si="7"/>
        <v>3</v>
      </c>
      <c r="F18" s="204"/>
      <c r="G18" s="204"/>
      <c r="H18" s="204">
        <f t="shared" si="8"/>
        <v>12882</v>
      </c>
      <c r="I18" s="204">
        <f t="shared" si="8"/>
        <v>27840.375</v>
      </c>
      <c r="J18" s="204">
        <f t="shared" si="8"/>
        <v>40722.375</v>
      </c>
    </row>
    <row r="19" spans="2:10" x14ac:dyDescent="0.25">
      <c r="B19" s="201" t="s">
        <v>169</v>
      </c>
      <c r="C19" s="201"/>
      <c r="D19" s="199">
        <f t="shared" si="7"/>
        <v>6</v>
      </c>
      <c r="E19" s="199">
        <f t="shared" si="7"/>
        <v>2</v>
      </c>
      <c r="F19" s="204"/>
      <c r="G19" s="204"/>
      <c r="H19" s="204">
        <f t="shared" si="8"/>
        <v>8588</v>
      </c>
      <c r="I19" s="204">
        <f t="shared" si="8"/>
        <v>18560.25</v>
      </c>
      <c r="J19" s="204">
        <f t="shared" si="8"/>
        <v>27148.25</v>
      </c>
    </row>
    <row r="20" spans="2:10" x14ac:dyDescent="0.25">
      <c r="B20" s="201" t="s">
        <v>170</v>
      </c>
      <c r="C20" s="201"/>
      <c r="D20" s="199">
        <f>SUM(D8:D10)</f>
        <v>48</v>
      </c>
      <c r="E20" s="199">
        <f>SUM(E8:E10)</f>
        <v>10</v>
      </c>
      <c r="F20" s="204"/>
      <c r="G20" s="204"/>
      <c r="H20" s="204">
        <f>SUM(H8:H10)</f>
        <v>56952</v>
      </c>
      <c r="I20" s="204">
        <f>SUM(I8:I10)</f>
        <v>112846.31999999999</v>
      </c>
      <c r="J20" s="204">
        <f>SUM(J8:J10)</f>
        <v>169798.32</v>
      </c>
    </row>
    <row r="21" spans="2:10" x14ac:dyDescent="0.25">
      <c r="B21" s="201" t="s">
        <v>175</v>
      </c>
      <c r="C21" s="201"/>
      <c r="D21" s="199">
        <f>SUM(D11:D12)</f>
        <v>39</v>
      </c>
      <c r="E21" s="199">
        <f>SUM(E11:E12)</f>
        <v>10</v>
      </c>
      <c r="F21" s="204"/>
      <c r="G21" s="204"/>
      <c r="H21" s="204">
        <f>SUM(H11:H12)</f>
        <v>50172</v>
      </c>
      <c r="I21" s="204">
        <f>SUM(I11:I12)</f>
        <v>103937.4</v>
      </c>
      <c r="J21" s="204">
        <f>SUM(J11:J12)</f>
        <v>154109.4</v>
      </c>
    </row>
    <row r="22" spans="2:10" x14ac:dyDescent="0.25">
      <c r="B22" s="201" t="s">
        <v>176</v>
      </c>
      <c r="C22" s="201"/>
      <c r="D22" s="199">
        <f>SUM(D13)</f>
        <v>2</v>
      </c>
      <c r="E22" s="199">
        <f>SUM(E13)</f>
        <v>1</v>
      </c>
      <c r="F22" s="199"/>
      <c r="G22" s="199"/>
      <c r="H22" s="204">
        <f t="shared" ref="H22:J23" si="9">SUM(H13)</f>
        <v>4294</v>
      </c>
      <c r="I22" s="204">
        <f t="shared" si="9"/>
        <v>9280.125</v>
      </c>
      <c r="J22" s="204">
        <f t="shared" si="9"/>
        <v>13574.125</v>
      </c>
    </row>
    <row r="23" spans="2:10" ht="26.25" x14ac:dyDescent="0.25">
      <c r="B23" s="201" t="s">
        <v>178</v>
      </c>
      <c r="C23" s="201"/>
      <c r="D23" s="199">
        <f>SUM(D14)</f>
        <v>8</v>
      </c>
      <c r="E23" s="199">
        <f>SUM(E14)</f>
        <v>2</v>
      </c>
      <c r="F23" s="199"/>
      <c r="G23" s="199"/>
      <c r="H23" s="204">
        <f t="shared" si="9"/>
        <v>8588</v>
      </c>
      <c r="I23" s="204">
        <f t="shared" si="9"/>
        <v>18560.25</v>
      </c>
      <c r="J23" s="204">
        <f t="shared" si="9"/>
        <v>27148.25</v>
      </c>
    </row>
    <row r="24" spans="2:10" x14ac:dyDescent="0.25">
      <c r="B24" s="205" t="s">
        <v>25</v>
      </c>
      <c r="C24" s="205"/>
      <c r="D24" s="206">
        <f>SUM(D17:D23)</f>
        <v>119</v>
      </c>
      <c r="E24" s="206">
        <f>SUM(E17:E23)</f>
        <v>29</v>
      </c>
      <c r="F24" s="206"/>
      <c r="G24" s="206"/>
      <c r="H24" s="207">
        <f>SUM(H17:H23)</f>
        <v>149386</v>
      </c>
      <c r="I24" s="207">
        <f>SUM(I17:I23)</f>
        <v>305872.92</v>
      </c>
      <c r="J24" s="207">
        <f>SUM(J17:J23)</f>
        <v>455258.92000000004</v>
      </c>
    </row>
    <row r="25" spans="2:10" ht="15.75" thickBot="1" x14ac:dyDescent="0.3"/>
    <row r="26" spans="2:10" ht="15.75" thickBot="1" x14ac:dyDescent="0.3">
      <c r="B26" s="318" t="s">
        <v>258</v>
      </c>
      <c r="C26" s="319"/>
      <c r="D26" s="319"/>
      <c r="E26" s="319"/>
      <c r="F26" s="319"/>
      <c r="G26" s="319"/>
      <c r="H26" s="319"/>
      <c r="I26" s="319"/>
      <c r="J26" s="320"/>
    </row>
    <row r="27" spans="2:10" ht="89.25" x14ac:dyDescent="0.25">
      <c r="B27" s="344" t="s">
        <v>20</v>
      </c>
      <c r="C27" s="393" t="s">
        <v>31</v>
      </c>
      <c r="D27" s="331" t="s">
        <v>1</v>
      </c>
      <c r="E27" s="107" t="s">
        <v>10</v>
      </c>
      <c r="F27" s="107" t="s">
        <v>67</v>
      </c>
      <c r="G27" s="107" t="s">
        <v>15</v>
      </c>
      <c r="H27" s="15" t="s">
        <v>28</v>
      </c>
      <c r="I27" s="15" t="s">
        <v>33</v>
      </c>
      <c r="J27" s="16" t="s">
        <v>34</v>
      </c>
    </row>
    <row r="28" spans="2:10" x14ac:dyDescent="0.25">
      <c r="B28" s="404"/>
      <c r="C28" s="405"/>
      <c r="D28" s="332"/>
      <c r="E28" s="108" t="s">
        <v>11</v>
      </c>
      <c r="F28" s="108" t="s">
        <v>13</v>
      </c>
      <c r="G28" s="108" t="s">
        <v>7</v>
      </c>
      <c r="H28" s="184" t="s">
        <v>7</v>
      </c>
      <c r="I28" s="184" t="s">
        <v>7</v>
      </c>
      <c r="J28" s="185" t="s">
        <v>7</v>
      </c>
    </row>
    <row r="29" spans="2:10" x14ac:dyDescent="0.25">
      <c r="B29" s="403" t="s">
        <v>167</v>
      </c>
      <c r="C29" s="4" t="s">
        <v>16</v>
      </c>
      <c r="D29" s="7">
        <v>79</v>
      </c>
      <c r="E29" s="7">
        <v>33</v>
      </c>
      <c r="F29" s="5">
        <f>PODLAGE!$E$37</f>
        <v>4294</v>
      </c>
      <c r="G29" s="5">
        <f t="shared" ref="G29:G30" si="10">E29*F29</f>
        <v>141702</v>
      </c>
      <c r="H29" s="75">
        <f t="shared" ref="H29:H37" si="11">SUM(G29:G29)</f>
        <v>141702</v>
      </c>
      <c r="I29" s="10">
        <f>E29*PODLAGE!$K$25</f>
        <v>306244.125</v>
      </c>
      <c r="J29" s="10">
        <f t="shared" ref="J29:J30" si="12">SUM(H29:I29)</f>
        <v>447946.125</v>
      </c>
    </row>
    <row r="30" spans="2:10" x14ac:dyDescent="0.25">
      <c r="B30" s="403"/>
      <c r="C30" s="4" t="s">
        <v>17</v>
      </c>
      <c r="D30" s="7">
        <v>54</v>
      </c>
      <c r="E30" s="7">
        <v>8</v>
      </c>
      <c r="F30" s="5">
        <f>PODLAGE!$E$38</f>
        <v>7909.9999999999991</v>
      </c>
      <c r="G30" s="5">
        <f t="shared" si="10"/>
        <v>63279.999999999993</v>
      </c>
      <c r="H30" s="75">
        <f t="shared" si="11"/>
        <v>63279.999999999993</v>
      </c>
      <c r="I30" s="10">
        <f>E30*PODLAGE!$K$26</f>
        <v>118785.59999999998</v>
      </c>
      <c r="J30" s="10">
        <f t="shared" si="12"/>
        <v>182065.59999999998</v>
      </c>
    </row>
    <row r="31" spans="2:10" x14ac:dyDescent="0.25">
      <c r="B31" s="403" t="s">
        <v>170</v>
      </c>
      <c r="C31" s="4" t="s">
        <v>16</v>
      </c>
      <c r="D31" s="7">
        <v>66</v>
      </c>
      <c r="E31" s="7">
        <v>26</v>
      </c>
      <c r="F31" s="5">
        <f>PODLAGE!$E$37</f>
        <v>4294</v>
      </c>
      <c r="G31" s="5">
        <f t="shared" ref="G31:G33" si="13">E31*F31</f>
        <v>111644</v>
      </c>
      <c r="H31" s="75">
        <f t="shared" si="11"/>
        <v>111644</v>
      </c>
      <c r="I31" s="10">
        <f>E31*PODLAGE!$K$25</f>
        <v>241283.25</v>
      </c>
      <c r="J31" s="10">
        <f t="shared" ref="J31:J33" si="14">SUM(H31:I31)</f>
        <v>352927.25</v>
      </c>
    </row>
    <row r="32" spans="2:10" x14ac:dyDescent="0.25">
      <c r="B32" s="403"/>
      <c r="C32" s="4" t="s">
        <v>17</v>
      </c>
      <c r="D32" s="7">
        <v>28</v>
      </c>
      <c r="E32" s="7">
        <v>4</v>
      </c>
      <c r="F32" s="5">
        <f>PODLAGE!$E$38</f>
        <v>7909.9999999999991</v>
      </c>
      <c r="G32" s="5">
        <f t="shared" si="13"/>
        <v>31639.999999999996</v>
      </c>
      <c r="H32" s="75">
        <f t="shared" si="11"/>
        <v>31639.999999999996</v>
      </c>
      <c r="I32" s="10">
        <f>E32*PODLAGE!$K$26</f>
        <v>59392.799999999988</v>
      </c>
      <c r="J32" s="10">
        <f t="shared" si="14"/>
        <v>91032.799999999988</v>
      </c>
    </row>
    <row r="33" spans="2:10" x14ac:dyDescent="0.25">
      <c r="B33" s="403"/>
      <c r="C33" s="4" t="s">
        <v>18</v>
      </c>
      <c r="D33" s="7">
        <v>24</v>
      </c>
      <c r="E33" s="7">
        <v>2</v>
      </c>
      <c r="F33" s="5">
        <f>PODLAGE!$E$39</f>
        <v>14689.999999999998</v>
      </c>
      <c r="G33" s="5">
        <f t="shared" si="13"/>
        <v>29379.999999999996</v>
      </c>
      <c r="H33" s="75">
        <f t="shared" si="11"/>
        <v>29379.999999999996</v>
      </c>
      <c r="I33" s="10">
        <f>E33*PODLAGE!$K$27</f>
        <v>47514.239999999991</v>
      </c>
      <c r="J33" s="10">
        <f t="shared" si="14"/>
        <v>76894.239999999991</v>
      </c>
    </row>
    <row r="34" spans="2:10" x14ac:dyDescent="0.25">
      <c r="B34" s="403" t="s">
        <v>174</v>
      </c>
      <c r="C34" s="4" t="s">
        <v>16</v>
      </c>
      <c r="D34" s="7">
        <v>19</v>
      </c>
      <c r="E34" s="7">
        <v>6</v>
      </c>
      <c r="F34" s="5">
        <f>PODLAGE!$E$37</f>
        <v>4294</v>
      </c>
      <c r="G34" s="5">
        <f t="shared" ref="G34:G37" si="15">E34*F34</f>
        <v>25764</v>
      </c>
      <c r="H34" s="75">
        <f t="shared" si="11"/>
        <v>25764</v>
      </c>
      <c r="I34" s="10">
        <f>E34*PODLAGE!$K$25</f>
        <v>55680.75</v>
      </c>
      <c r="J34" s="10">
        <f t="shared" ref="J34:J37" si="16">SUM(H34:I34)</f>
        <v>81444.75</v>
      </c>
    </row>
    <row r="35" spans="2:10" x14ac:dyDescent="0.25">
      <c r="B35" s="403"/>
      <c r="C35" s="4" t="s">
        <v>17</v>
      </c>
      <c r="D35" s="7">
        <v>15</v>
      </c>
      <c r="E35" s="7">
        <v>2</v>
      </c>
      <c r="F35" s="5">
        <f>PODLAGE!$E$38</f>
        <v>7909.9999999999991</v>
      </c>
      <c r="G35" s="5">
        <f t="shared" si="15"/>
        <v>15819.999999999998</v>
      </c>
      <c r="H35" s="75">
        <f t="shared" si="11"/>
        <v>15819.999999999998</v>
      </c>
      <c r="I35" s="10">
        <f>E35*PODLAGE!$K$26</f>
        <v>29696.399999999994</v>
      </c>
      <c r="J35" s="10">
        <f t="shared" si="16"/>
        <v>45516.399999999994</v>
      </c>
    </row>
    <row r="36" spans="2:10" x14ac:dyDescent="0.25">
      <c r="B36" s="403" t="s">
        <v>178</v>
      </c>
      <c r="C36" s="4" t="s">
        <v>16</v>
      </c>
      <c r="D36" s="7">
        <v>31</v>
      </c>
      <c r="E36" s="7">
        <v>12</v>
      </c>
      <c r="F36" s="5">
        <f>PODLAGE!$E$37</f>
        <v>4294</v>
      </c>
      <c r="G36" s="5">
        <f t="shared" si="15"/>
        <v>51528</v>
      </c>
      <c r="H36" s="75">
        <f t="shared" si="11"/>
        <v>51528</v>
      </c>
      <c r="I36" s="10">
        <f>E36*PODLAGE!$K$25</f>
        <v>111361.5</v>
      </c>
      <c r="J36" s="10">
        <f t="shared" si="16"/>
        <v>162889.5</v>
      </c>
    </row>
    <row r="37" spans="2:10" x14ac:dyDescent="0.25">
      <c r="B37" s="403"/>
      <c r="C37" s="4" t="s">
        <v>17</v>
      </c>
      <c r="D37" s="7">
        <v>34</v>
      </c>
      <c r="E37" s="7">
        <v>4</v>
      </c>
      <c r="F37" s="5">
        <f>PODLAGE!$E$38</f>
        <v>7909.9999999999991</v>
      </c>
      <c r="G37" s="5">
        <f t="shared" si="15"/>
        <v>31639.999999999996</v>
      </c>
      <c r="H37" s="75">
        <f t="shared" si="11"/>
        <v>31639.999999999996</v>
      </c>
      <c r="I37" s="10">
        <f>E37*PODLAGE!$K$26</f>
        <v>59392.799999999988</v>
      </c>
      <c r="J37" s="10">
        <f t="shared" si="16"/>
        <v>91032.799999999988</v>
      </c>
    </row>
    <row r="39" spans="2:10" x14ac:dyDescent="0.25">
      <c r="B39" s="1" t="s">
        <v>209</v>
      </c>
      <c r="C39" s="1"/>
      <c r="D39" s="27"/>
      <c r="E39" s="1"/>
      <c r="F39" s="1"/>
      <c r="G39" s="1"/>
      <c r="H39" s="32"/>
      <c r="I39" s="32"/>
      <c r="J39" s="32"/>
    </row>
    <row r="40" spans="2:10" x14ac:dyDescent="0.25">
      <c r="B40" s="203" t="s">
        <v>167</v>
      </c>
      <c r="C40" s="203"/>
      <c r="D40" s="202">
        <f>SUM(D29:D30)</f>
        <v>133</v>
      </c>
      <c r="E40" s="202">
        <f>SUM(E29:E30)</f>
        <v>41</v>
      </c>
      <c r="F40" s="208"/>
      <c r="G40" s="208"/>
      <c r="H40" s="208">
        <f>SUM(H29:H30)</f>
        <v>204982</v>
      </c>
      <c r="I40" s="208">
        <f>SUM(I29:I30)</f>
        <v>425029.72499999998</v>
      </c>
      <c r="J40" s="208">
        <f>SUM(J29:J30)</f>
        <v>630011.72499999998</v>
      </c>
    </row>
    <row r="41" spans="2:10" x14ac:dyDescent="0.25">
      <c r="B41" s="203" t="s">
        <v>170</v>
      </c>
      <c r="C41" s="203"/>
      <c r="D41" s="202">
        <f>SUM(D31:D33)</f>
        <v>118</v>
      </c>
      <c r="E41" s="202">
        <f>SUM(E31:E33)</f>
        <v>32</v>
      </c>
      <c r="F41" s="208"/>
      <c r="G41" s="208"/>
      <c r="H41" s="208">
        <f>SUM(H31:H33)</f>
        <v>172664</v>
      </c>
      <c r="I41" s="208">
        <f>SUM(I31:I33)</f>
        <v>348190.29</v>
      </c>
      <c r="J41" s="208">
        <f>SUM(J31:J33)</f>
        <v>520854.29</v>
      </c>
    </row>
    <row r="42" spans="2:10" x14ac:dyDescent="0.25">
      <c r="B42" s="203" t="s">
        <v>174</v>
      </c>
      <c r="C42" s="203"/>
      <c r="D42" s="202">
        <f>SUM(D34:D35)</f>
        <v>34</v>
      </c>
      <c r="E42" s="202">
        <f>SUM(E34:E35)</f>
        <v>8</v>
      </c>
      <c r="F42" s="208"/>
      <c r="G42" s="208"/>
      <c r="H42" s="208">
        <f>SUM(H34:H35)</f>
        <v>41584</v>
      </c>
      <c r="I42" s="208">
        <f>SUM(I34:I35)</f>
        <v>85377.15</v>
      </c>
      <c r="J42" s="208">
        <f>SUM(J34:J35)</f>
        <v>126961.15</v>
      </c>
    </row>
    <row r="43" spans="2:10" ht="26.25" x14ac:dyDescent="0.25">
      <c r="B43" s="203" t="s">
        <v>178</v>
      </c>
      <c r="C43" s="203"/>
      <c r="D43" s="202">
        <f>SUM(D36:D37)</f>
        <v>65</v>
      </c>
      <c r="E43" s="202">
        <f>SUM(E36:E37)</f>
        <v>16</v>
      </c>
      <c r="F43" s="208"/>
      <c r="G43" s="208"/>
      <c r="H43" s="208">
        <f>SUM(H36:H37)</f>
        <v>83168</v>
      </c>
      <c r="I43" s="208">
        <f>SUM(I36:I37)</f>
        <v>170754.3</v>
      </c>
      <c r="J43" s="208">
        <f>SUM(J36:J37)</f>
        <v>253922.3</v>
      </c>
    </row>
    <row r="44" spans="2:10" x14ac:dyDescent="0.25">
      <c r="B44" s="190" t="s">
        <v>25</v>
      </c>
      <c r="C44" s="190"/>
      <c r="D44" s="191">
        <f>SUM(D40:D43)</f>
        <v>350</v>
      </c>
      <c r="E44" s="191">
        <f>SUM(E40:E43)</f>
        <v>97</v>
      </c>
      <c r="F44" s="191"/>
      <c r="G44" s="191"/>
      <c r="H44" s="192">
        <f>SUM(H40:H43)</f>
        <v>502398</v>
      </c>
      <c r="I44" s="192">
        <f>SUM(I40:I43)</f>
        <v>1029351.4649999999</v>
      </c>
      <c r="J44" s="192">
        <f>SUM(J40:J43)</f>
        <v>1531749.4649999999</v>
      </c>
    </row>
    <row r="46" spans="2:10" ht="15.75" thickBot="1" x14ac:dyDescent="0.3">
      <c r="B46" s="318" t="s">
        <v>259</v>
      </c>
      <c r="C46" s="319"/>
      <c r="D46" s="319"/>
      <c r="E46" s="319"/>
      <c r="F46" s="319"/>
      <c r="G46" s="319"/>
      <c r="H46" s="319"/>
      <c r="I46" s="319"/>
      <c r="J46" s="320"/>
    </row>
    <row r="47" spans="2:10" ht="89.25" x14ac:dyDescent="0.25">
      <c r="B47" s="344" t="s">
        <v>20</v>
      </c>
      <c r="C47" s="393" t="s">
        <v>31</v>
      </c>
      <c r="D47" s="331" t="s">
        <v>1</v>
      </c>
      <c r="E47" s="107" t="s">
        <v>10</v>
      </c>
      <c r="F47" s="107" t="s">
        <v>67</v>
      </c>
      <c r="G47" s="107" t="s">
        <v>15</v>
      </c>
      <c r="H47" s="15" t="s">
        <v>28</v>
      </c>
      <c r="I47" s="15" t="s">
        <v>33</v>
      </c>
      <c r="J47" s="16" t="s">
        <v>34</v>
      </c>
    </row>
    <row r="48" spans="2:10" x14ac:dyDescent="0.25">
      <c r="B48" s="404"/>
      <c r="C48" s="405"/>
      <c r="D48" s="332"/>
      <c r="E48" s="108" t="s">
        <v>11</v>
      </c>
      <c r="F48" s="108" t="s">
        <v>13</v>
      </c>
      <c r="G48" s="108" t="s">
        <v>7</v>
      </c>
      <c r="H48" s="184" t="s">
        <v>7</v>
      </c>
      <c r="I48" s="184" t="s">
        <v>7</v>
      </c>
      <c r="J48" s="185" t="s">
        <v>7</v>
      </c>
    </row>
    <row r="49" spans="2:10" x14ac:dyDescent="0.25">
      <c r="B49" s="403" t="s">
        <v>161</v>
      </c>
      <c r="C49" s="4" t="s">
        <v>16</v>
      </c>
      <c r="D49" s="7">
        <v>5</v>
      </c>
      <c r="E49" s="7">
        <v>2</v>
      </c>
      <c r="F49" s="5">
        <f>PODLAGE!$E$37</f>
        <v>4294</v>
      </c>
      <c r="G49" s="5">
        <f t="shared" ref="G49:G69" si="17">E49*F49</f>
        <v>8588</v>
      </c>
      <c r="H49" s="75">
        <f t="shared" ref="H49:H68" si="18">SUM(G49:G49)</f>
        <v>8588</v>
      </c>
      <c r="I49" s="10">
        <f>E49*PODLAGE!$K$25</f>
        <v>18560.25</v>
      </c>
      <c r="J49" s="10">
        <f t="shared" ref="J49:J64" si="19">SUM(H49:I49)</f>
        <v>27148.25</v>
      </c>
    </row>
    <row r="50" spans="2:10" x14ac:dyDescent="0.25">
      <c r="B50" s="403"/>
      <c r="C50" s="4" t="s">
        <v>17</v>
      </c>
      <c r="D50" s="7">
        <v>15</v>
      </c>
      <c r="E50" s="7">
        <v>2</v>
      </c>
      <c r="F50" s="5">
        <f>PODLAGE!$E$38</f>
        <v>7909.9999999999991</v>
      </c>
      <c r="G50" s="5">
        <f t="shared" ref="G50:G55" si="20">E50*F50</f>
        <v>15819.999999999998</v>
      </c>
      <c r="H50" s="75">
        <f t="shared" si="18"/>
        <v>15819.999999999998</v>
      </c>
      <c r="I50" s="10">
        <f>E50*PODLAGE!$K$26</f>
        <v>29696.399999999994</v>
      </c>
      <c r="J50" s="10">
        <f t="shared" ref="J50:J55" si="21">SUM(H50:I50)</f>
        <v>45516.399999999994</v>
      </c>
    </row>
    <row r="51" spans="2:10" x14ac:dyDescent="0.25">
      <c r="B51" s="4" t="s">
        <v>165</v>
      </c>
      <c r="C51" s="4" t="s">
        <v>16</v>
      </c>
      <c r="D51" s="7">
        <v>1</v>
      </c>
      <c r="E51" s="7">
        <v>1</v>
      </c>
      <c r="F51" s="5">
        <f>PODLAGE!$E$37</f>
        <v>4294</v>
      </c>
      <c r="G51" s="5">
        <f t="shared" si="20"/>
        <v>4294</v>
      </c>
      <c r="H51" s="75">
        <f t="shared" ref="H51" si="22">SUM(G51:G51)</f>
        <v>4294</v>
      </c>
      <c r="I51" s="10">
        <f>E51*PODLAGE!$K$25</f>
        <v>9280.125</v>
      </c>
      <c r="J51" s="10">
        <f t="shared" si="21"/>
        <v>13574.125</v>
      </c>
    </row>
    <row r="52" spans="2:10" x14ac:dyDescent="0.25">
      <c r="B52" s="403" t="s">
        <v>166</v>
      </c>
      <c r="C52" s="4" t="s">
        <v>16</v>
      </c>
      <c r="D52" s="7">
        <v>2</v>
      </c>
      <c r="E52" s="7">
        <v>2</v>
      </c>
      <c r="F52" s="5">
        <f>PODLAGE!$E$37</f>
        <v>4294</v>
      </c>
      <c r="G52" s="5">
        <f t="shared" si="20"/>
        <v>8588</v>
      </c>
      <c r="H52" s="75">
        <f t="shared" si="18"/>
        <v>8588</v>
      </c>
      <c r="I52" s="10">
        <f>E52*PODLAGE!$K$25</f>
        <v>18560.25</v>
      </c>
      <c r="J52" s="10">
        <f t="shared" si="21"/>
        <v>27148.25</v>
      </c>
    </row>
    <row r="53" spans="2:10" x14ac:dyDescent="0.25">
      <c r="B53" s="403"/>
      <c r="C53" s="4" t="s">
        <v>17</v>
      </c>
      <c r="D53" s="7">
        <v>9</v>
      </c>
      <c r="E53" s="7">
        <v>1</v>
      </c>
      <c r="F53" s="5">
        <f>PODLAGE!$E$38</f>
        <v>7909.9999999999991</v>
      </c>
      <c r="G53" s="5">
        <f t="shared" si="20"/>
        <v>7909.9999999999991</v>
      </c>
      <c r="H53" s="75">
        <f t="shared" si="18"/>
        <v>7909.9999999999991</v>
      </c>
      <c r="I53" s="10">
        <f>E53*PODLAGE!$K$26</f>
        <v>14848.199999999997</v>
      </c>
      <c r="J53" s="10">
        <f t="shared" si="21"/>
        <v>22758.199999999997</v>
      </c>
    </row>
    <row r="54" spans="2:10" x14ac:dyDescent="0.25">
      <c r="B54" s="403"/>
      <c r="C54" s="4" t="s">
        <v>18</v>
      </c>
      <c r="D54" s="7">
        <v>32</v>
      </c>
      <c r="E54" s="7">
        <v>2</v>
      </c>
      <c r="F54" s="5">
        <f>PODLAGE!$E$39</f>
        <v>14689.999999999998</v>
      </c>
      <c r="G54" s="5">
        <f t="shared" si="20"/>
        <v>29379.999999999996</v>
      </c>
      <c r="H54" s="75">
        <f t="shared" si="18"/>
        <v>29379.999999999996</v>
      </c>
      <c r="I54" s="10">
        <f>E54*PODLAGE!$K$27</f>
        <v>47514.239999999991</v>
      </c>
      <c r="J54" s="10">
        <f t="shared" si="21"/>
        <v>76894.239999999991</v>
      </c>
    </row>
    <row r="55" spans="2:10" x14ac:dyDescent="0.25">
      <c r="B55" s="403" t="s">
        <v>167</v>
      </c>
      <c r="C55" s="4" t="s">
        <v>16</v>
      </c>
      <c r="D55" s="7">
        <v>6</v>
      </c>
      <c r="E55" s="7">
        <v>3</v>
      </c>
      <c r="F55" s="5">
        <f>PODLAGE!$E$37</f>
        <v>4294</v>
      </c>
      <c r="G55" s="5">
        <f t="shared" si="20"/>
        <v>12882</v>
      </c>
      <c r="H55" s="75">
        <f t="shared" si="18"/>
        <v>12882</v>
      </c>
      <c r="I55" s="10">
        <f>E55*PODLAGE!$K$25</f>
        <v>27840.375</v>
      </c>
      <c r="J55" s="10">
        <f t="shared" si="21"/>
        <v>40722.375</v>
      </c>
    </row>
    <row r="56" spans="2:10" x14ac:dyDescent="0.25">
      <c r="B56" s="403"/>
      <c r="C56" s="4" t="s">
        <v>17</v>
      </c>
      <c r="D56" s="7">
        <v>7</v>
      </c>
      <c r="E56" s="7">
        <v>1</v>
      </c>
      <c r="F56" s="5">
        <f>PODLAGE!$E$38</f>
        <v>7909.9999999999991</v>
      </c>
      <c r="G56" s="5">
        <f t="shared" ref="G56:G59" si="23">E56*F56</f>
        <v>7909.9999999999991</v>
      </c>
      <c r="H56" s="75">
        <f t="shared" si="18"/>
        <v>7909.9999999999991</v>
      </c>
      <c r="I56" s="10">
        <f>E56*PODLAGE!$K$26</f>
        <v>14848.199999999997</v>
      </c>
      <c r="J56" s="10">
        <f t="shared" ref="J56:J59" si="24">SUM(H56:I56)</f>
        <v>22758.199999999997</v>
      </c>
    </row>
    <row r="57" spans="2:10" x14ac:dyDescent="0.25">
      <c r="B57" s="403" t="s">
        <v>168</v>
      </c>
      <c r="C57" s="4" t="s">
        <v>16</v>
      </c>
      <c r="D57" s="7">
        <v>52</v>
      </c>
      <c r="E57" s="7">
        <v>22</v>
      </c>
      <c r="F57" s="5">
        <f>PODLAGE!$E$37</f>
        <v>4294</v>
      </c>
      <c r="G57" s="5">
        <f t="shared" si="23"/>
        <v>94468</v>
      </c>
      <c r="H57" s="75">
        <f t="shared" si="18"/>
        <v>94468</v>
      </c>
      <c r="I57" s="10">
        <f>E57*PODLAGE!$K$25</f>
        <v>204162.75</v>
      </c>
      <c r="J57" s="10">
        <f t="shared" si="24"/>
        <v>298630.75</v>
      </c>
    </row>
    <row r="58" spans="2:10" x14ac:dyDescent="0.25">
      <c r="B58" s="403"/>
      <c r="C58" s="4" t="s">
        <v>17</v>
      </c>
      <c r="D58" s="7">
        <v>9</v>
      </c>
      <c r="E58" s="7">
        <v>1</v>
      </c>
      <c r="F58" s="5">
        <f>PODLAGE!$E$38</f>
        <v>7909.9999999999991</v>
      </c>
      <c r="G58" s="5">
        <f t="shared" si="23"/>
        <v>7909.9999999999991</v>
      </c>
      <c r="H58" s="75">
        <f t="shared" si="18"/>
        <v>7909.9999999999991</v>
      </c>
      <c r="I58" s="10">
        <f>E58*PODLAGE!$K$26</f>
        <v>14848.199999999997</v>
      </c>
      <c r="J58" s="10">
        <f t="shared" si="24"/>
        <v>22758.199999999997</v>
      </c>
    </row>
    <row r="59" spans="2:10" x14ac:dyDescent="0.25">
      <c r="B59" s="403"/>
      <c r="C59" s="4" t="s">
        <v>18</v>
      </c>
      <c r="D59" s="7">
        <v>11</v>
      </c>
      <c r="E59" s="7">
        <v>1</v>
      </c>
      <c r="F59" s="5">
        <f>PODLAGE!$E$39</f>
        <v>14689.999999999998</v>
      </c>
      <c r="G59" s="5">
        <f t="shared" si="23"/>
        <v>14689.999999999998</v>
      </c>
      <c r="H59" s="75">
        <f t="shared" si="18"/>
        <v>14689.999999999998</v>
      </c>
      <c r="I59" s="10">
        <f>E59*PODLAGE!$K$27</f>
        <v>23757.119999999995</v>
      </c>
      <c r="J59" s="10">
        <f t="shared" si="24"/>
        <v>38447.119999999995</v>
      </c>
    </row>
    <row r="60" spans="2:10" x14ac:dyDescent="0.25">
      <c r="B60" s="403" t="s">
        <v>169</v>
      </c>
      <c r="C60" s="4" t="s">
        <v>16</v>
      </c>
      <c r="D60" s="7">
        <v>23</v>
      </c>
      <c r="E60" s="7">
        <v>12</v>
      </c>
      <c r="F60" s="5">
        <f>PODLAGE!$E$37</f>
        <v>4294</v>
      </c>
      <c r="G60" s="5">
        <f t="shared" si="17"/>
        <v>51528</v>
      </c>
      <c r="H60" s="75">
        <f t="shared" si="18"/>
        <v>51528</v>
      </c>
      <c r="I60" s="10">
        <f>E60*PODLAGE!$K$25</f>
        <v>111361.5</v>
      </c>
      <c r="J60" s="10">
        <f t="shared" si="19"/>
        <v>162889.5</v>
      </c>
    </row>
    <row r="61" spans="2:10" x14ac:dyDescent="0.25">
      <c r="B61" s="403"/>
      <c r="C61" s="4" t="s">
        <v>17</v>
      </c>
      <c r="D61" s="7">
        <v>23</v>
      </c>
      <c r="E61" s="7">
        <v>3</v>
      </c>
      <c r="F61" s="5">
        <f>PODLAGE!$E$38</f>
        <v>7909.9999999999991</v>
      </c>
      <c r="G61" s="5">
        <f t="shared" si="17"/>
        <v>23729.999999999996</v>
      </c>
      <c r="H61" s="75">
        <f t="shared" si="18"/>
        <v>23729.999999999996</v>
      </c>
      <c r="I61" s="10">
        <f>E61*PODLAGE!$K$26</f>
        <v>44544.599999999991</v>
      </c>
      <c r="J61" s="10">
        <f t="shared" si="19"/>
        <v>68274.599999999991</v>
      </c>
    </row>
    <row r="62" spans="2:10" x14ac:dyDescent="0.25">
      <c r="B62" s="403" t="s">
        <v>170</v>
      </c>
      <c r="C62" s="4" t="s">
        <v>16</v>
      </c>
      <c r="D62" s="7">
        <v>57</v>
      </c>
      <c r="E62" s="7">
        <v>23</v>
      </c>
      <c r="F62" s="5">
        <f>PODLAGE!$E$37</f>
        <v>4294</v>
      </c>
      <c r="G62" s="5">
        <f t="shared" ref="G62:G63" si="25">E62*F62</f>
        <v>98762</v>
      </c>
      <c r="H62" s="75">
        <f t="shared" si="18"/>
        <v>98762</v>
      </c>
      <c r="I62" s="10">
        <f>E62*PODLAGE!$K$25</f>
        <v>213442.875</v>
      </c>
      <c r="J62" s="10">
        <f t="shared" ref="J62:J63" si="26">SUM(H62:I62)</f>
        <v>312204.875</v>
      </c>
    </row>
    <row r="63" spans="2:10" x14ac:dyDescent="0.25">
      <c r="B63" s="403"/>
      <c r="C63" s="4" t="s">
        <v>17</v>
      </c>
      <c r="D63" s="7">
        <v>12</v>
      </c>
      <c r="E63" s="7">
        <v>2</v>
      </c>
      <c r="F63" s="5">
        <f>PODLAGE!$E$38</f>
        <v>7909.9999999999991</v>
      </c>
      <c r="G63" s="5">
        <f t="shared" si="25"/>
        <v>15819.999999999998</v>
      </c>
      <c r="H63" s="75">
        <f t="shared" si="18"/>
        <v>15819.999999999998</v>
      </c>
      <c r="I63" s="10">
        <f>E63*PODLAGE!$K$26</f>
        <v>29696.399999999994</v>
      </c>
      <c r="J63" s="10">
        <f t="shared" si="26"/>
        <v>45516.399999999994</v>
      </c>
    </row>
    <row r="64" spans="2:10" x14ac:dyDescent="0.25">
      <c r="B64" s="4" t="s">
        <v>172</v>
      </c>
      <c r="C64" s="4" t="s">
        <v>16</v>
      </c>
      <c r="D64" s="7">
        <v>7</v>
      </c>
      <c r="E64" s="7">
        <v>2</v>
      </c>
      <c r="F64" s="5">
        <f>PODLAGE!$E$37</f>
        <v>4294</v>
      </c>
      <c r="G64" s="5">
        <f t="shared" si="17"/>
        <v>8588</v>
      </c>
      <c r="H64" s="75">
        <f t="shared" si="18"/>
        <v>8588</v>
      </c>
      <c r="I64" s="10">
        <f>E64*PODLAGE!$K$25</f>
        <v>18560.25</v>
      </c>
      <c r="J64" s="10">
        <f t="shared" si="19"/>
        <v>27148.25</v>
      </c>
    </row>
    <row r="65" spans="2:10" x14ac:dyDescent="0.25">
      <c r="B65" s="403" t="s">
        <v>175</v>
      </c>
      <c r="C65" s="4" t="s">
        <v>16</v>
      </c>
      <c r="D65" s="7">
        <v>117</v>
      </c>
      <c r="E65" s="7">
        <v>43</v>
      </c>
      <c r="F65" s="5">
        <f>PODLAGE!$E$37</f>
        <v>4294</v>
      </c>
      <c r="G65" s="5">
        <f t="shared" ref="G65:G66" si="27">E65*F65</f>
        <v>184642</v>
      </c>
      <c r="H65" s="75">
        <f t="shared" si="18"/>
        <v>184642</v>
      </c>
      <c r="I65" s="10">
        <f>E65*PODLAGE!$K$25</f>
        <v>399045.375</v>
      </c>
      <c r="J65" s="10">
        <f t="shared" ref="J65:J66" si="28">SUM(H65:I65)</f>
        <v>583687.375</v>
      </c>
    </row>
    <row r="66" spans="2:10" x14ac:dyDescent="0.25">
      <c r="B66" s="403"/>
      <c r="C66" s="4" t="s">
        <v>17</v>
      </c>
      <c r="D66" s="7">
        <v>53</v>
      </c>
      <c r="E66" s="7">
        <v>8</v>
      </c>
      <c r="F66" s="5">
        <f>PODLAGE!$E$38</f>
        <v>7909.9999999999991</v>
      </c>
      <c r="G66" s="5">
        <f t="shared" si="27"/>
        <v>63279.999999999993</v>
      </c>
      <c r="H66" s="75">
        <f t="shared" si="18"/>
        <v>63279.999999999993</v>
      </c>
      <c r="I66" s="10">
        <f>E66*PODLAGE!$K$26</f>
        <v>118785.59999999998</v>
      </c>
      <c r="J66" s="10">
        <f t="shared" si="28"/>
        <v>182065.59999999998</v>
      </c>
    </row>
    <row r="67" spans="2:10" x14ac:dyDescent="0.25">
      <c r="B67" s="403" t="s">
        <v>176</v>
      </c>
      <c r="C67" s="4" t="s">
        <v>16</v>
      </c>
      <c r="D67" s="7">
        <v>13</v>
      </c>
      <c r="E67" s="7">
        <v>8</v>
      </c>
      <c r="F67" s="5">
        <f>PODLAGE!$E$37</f>
        <v>4294</v>
      </c>
      <c r="G67" s="5">
        <f t="shared" ref="G67:G68" si="29">E67*F67</f>
        <v>34352</v>
      </c>
      <c r="H67" s="75">
        <f t="shared" si="18"/>
        <v>34352</v>
      </c>
      <c r="I67" s="10">
        <f>E67*PODLAGE!$K$25</f>
        <v>74241</v>
      </c>
      <c r="J67" s="10">
        <f t="shared" ref="J67:J68" si="30">SUM(H67:I67)</f>
        <v>108593</v>
      </c>
    </row>
    <row r="68" spans="2:10" x14ac:dyDescent="0.25">
      <c r="B68" s="403"/>
      <c r="C68" s="4" t="s">
        <v>17</v>
      </c>
      <c r="D68" s="7">
        <v>6</v>
      </c>
      <c r="E68" s="7">
        <v>1</v>
      </c>
      <c r="F68" s="5">
        <f>PODLAGE!$E$38</f>
        <v>7909.9999999999991</v>
      </c>
      <c r="G68" s="5">
        <f t="shared" si="29"/>
        <v>7909.9999999999991</v>
      </c>
      <c r="H68" s="75">
        <f t="shared" si="18"/>
        <v>7909.9999999999991</v>
      </c>
      <c r="I68" s="10">
        <f>E68*PODLAGE!$K$26</f>
        <v>14848.199999999997</v>
      </c>
      <c r="J68" s="10">
        <f t="shared" si="30"/>
        <v>22758.199999999997</v>
      </c>
    </row>
    <row r="69" spans="2:10" ht="25.5" x14ac:dyDescent="0.25">
      <c r="B69" s="4" t="s">
        <v>178</v>
      </c>
      <c r="C69" s="4" t="s">
        <v>16</v>
      </c>
      <c r="D69" s="7">
        <v>19</v>
      </c>
      <c r="E69" s="7">
        <v>10</v>
      </c>
      <c r="F69" s="5">
        <f>PODLAGE!$E$37</f>
        <v>4294</v>
      </c>
      <c r="G69" s="5">
        <f t="shared" si="17"/>
        <v>42940</v>
      </c>
      <c r="H69" s="75">
        <f>SUM(G69:G69)</f>
        <v>42940</v>
      </c>
      <c r="I69" s="10">
        <f>E69*PODLAGE!$K$25</f>
        <v>92801.25</v>
      </c>
      <c r="J69" s="10">
        <f>SUM(H69:I69)</f>
        <v>135741.25</v>
      </c>
    </row>
    <row r="71" spans="2:10" x14ac:dyDescent="0.25">
      <c r="B71" s="1" t="s">
        <v>209</v>
      </c>
      <c r="C71" s="1"/>
      <c r="D71" s="27"/>
      <c r="E71" s="1"/>
      <c r="F71" s="1"/>
      <c r="G71" s="1"/>
      <c r="H71" s="32"/>
      <c r="I71" s="32"/>
      <c r="J71" s="32"/>
    </row>
    <row r="72" spans="2:10" x14ac:dyDescent="0.25">
      <c r="B72" s="143" t="s">
        <v>161</v>
      </c>
      <c r="C72" s="143"/>
      <c r="D72" s="148">
        <f>SUM(D49:D50)</f>
        <v>20</v>
      </c>
      <c r="E72" s="148">
        <f>SUM(E49:E50)</f>
        <v>4</v>
      </c>
      <c r="F72" s="148"/>
      <c r="G72" s="148"/>
      <c r="H72" s="154">
        <f>SUM(H49:H50)</f>
        <v>24408</v>
      </c>
      <c r="I72" s="154">
        <f>SUM(I49:I50)</f>
        <v>48256.649999999994</v>
      </c>
      <c r="J72" s="154">
        <f>SUM(J49:J50)</f>
        <v>72664.649999999994</v>
      </c>
    </row>
    <row r="73" spans="2:10" x14ac:dyDescent="0.25">
      <c r="B73" s="143" t="s">
        <v>165</v>
      </c>
      <c r="C73" s="143"/>
      <c r="D73" s="148">
        <f>SUM(D51)</f>
        <v>1</v>
      </c>
      <c r="E73" s="148">
        <f>SUM(E51)</f>
        <v>1</v>
      </c>
      <c r="F73" s="148"/>
      <c r="G73" s="148"/>
      <c r="H73" s="154">
        <f>SUM(H51)</f>
        <v>4294</v>
      </c>
      <c r="I73" s="154">
        <f>SUM(I51)</f>
        <v>9280.125</v>
      </c>
      <c r="J73" s="154">
        <f>SUM(J51)</f>
        <v>13574.125</v>
      </c>
    </row>
    <row r="74" spans="2:10" x14ac:dyDescent="0.25">
      <c r="B74" s="143" t="s">
        <v>166</v>
      </c>
      <c r="C74" s="143"/>
      <c r="D74" s="148">
        <f>SUM(D52:D54)</f>
        <v>43</v>
      </c>
      <c r="E74" s="148">
        <f>SUM(E52:E54)</f>
        <v>5</v>
      </c>
      <c r="F74" s="148"/>
      <c r="G74" s="148"/>
      <c r="H74" s="154">
        <f>SUM(H52:H54)</f>
        <v>45878</v>
      </c>
      <c r="I74" s="154">
        <f>SUM(I52:I54)</f>
        <v>80922.689999999988</v>
      </c>
      <c r="J74" s="154">
        <f>SUM(J52:J54)</f>
        <v>126800.68999999999</v>
      </c>
    </row>
    <row r="75" spans="2:10" x14ac:dyDescent="0.25">
      <c r="B75" s="143" t="s">
        <v>167</v>
      </c>
      <c r="C75" s="143"/>
      <c r="D75" s="148">
        <f>SUM(D55:D56)</f>
        <v>13</v>
      </c>
      <c r="E75" s="148">
        <f>SUM(E55:E56)</f>
        <v>4</v>
      </c>
      <c r="F75" s="148"/>
      <c r="G75" s="148"/>
      <c r="H75" s="154">
        <f>SUM(H55:H56)</f>
        <v>20792</v>
      </c>
      <c r="I75" s="154">
        <f>SUM(I55:I56)</f>
        <v>42688.574999999997</v>
      </c>
      <c r="J75" s="154">
        <f>SUM(J55:J56)</f>
        <v>63480.574999999997</v>
      </c>
    </row>
    <row r="76" spans="2:10" x14ac:dyDescent="0.25">
      <c r="B76" s="143" t="s">
        <v>168</v>
      </c>
      <c r="C76" s="143"/>
      <c r="D76" s="148">
        <f>SUM(D57:D59)</f>
        <v>72</v>
      </c>
      <c r="E76" s="148">
        <f>SUM(E57:E59)</f>
        <v>24</v>
      </c>
      <c r="F76" s="148"/>
      <c r="G76" s="148"/>
      <c r="H76" s="154">
        <f>SUM(H57:H59)</f>
        <v>117068</v>
      </c>
      <c r="I76" s="154">
        <f>SUM(I57:I59)</f>
        <v>242768.07</v>
      </c>
      <c r="J76" s="154">
        <f>SUM(J57:J59)</f>
        <v>359836.07</v>
      </c>
    </row>
    <row r="77" spans="2:10" x14ac:dyDescent="0.25">
      <c r="B77" s="143" t="s">
        <v>169</v>
      </c>
      <c r="C77" s="143"/>
      <c r="D77" s="148">
        <f>SUM(D60:D61)</f>
        <v>46</v>
      </c>
      <c r="E77" s="148">
        <f>SUM(E60:E61)</f>
        <v>15</v>
      </c>
      <c r="F77" s="148"/>
      <c r="G77" s="148"/>
      <c r="H77" s="154">
        <f>SUM(H60:H61)</f>
        <v>75258</v>
      </c>
      <c r="I77" s="154">
        <f>SUM(I60:I61)</f>
        <v>155906.09999999998</v>
      </c>
      <c r="J77" s="154">
        <f>SUM(J60:J61)</f>
        <v>231164.09999999998</v>
      </c>
    </row>
    <row r="78" spans="2:10" x14ac:dyDescent="0.25">
      <c r="B78" s="143" t="s">
        <v>170</v>
      </c>
      <c r="C78" s="143"/>
      <c r="D78" s="148">
        <f>SUM(D62:D63)</f>
        <v>69</v>
      </c>
      <c r="E78" s="148">
        <f>SUM(E62:E63)</f>
        <v>25</v>
      </c>
      <c r="F78" s="148"/>
      <c r="G78" s="148"/>
      <c r="H78" s="154">
        <f>SUM(H62:H63)</f>
        <v>114582</v>
      </c>
      <c r="I78" s="154">
        <f>SUM(I62:I63)</f>
        <v>243139.27499999999</v>
      </c>
      <c r="J78" s="154">
        <f>SUM(J62:J63)</f>
        <v>357721.27500000002</v>
      </c>
    </row>
    <row r="79" spans="2:10" x14ac:dyDescent="0.25">
      <c r="B79" s="143" t="s">
        <v>172</v>
      </c>
      <c r="C79" s="143"/>
      <c r="D79" s="148">
        <f>SUM(D64)</f>
        <v>7</v>
      </c>
      <c r="E79" s="148">
        <f>SUM(E64)</f>
        <v>2</v>
      </c>
      <c r="F79" s="148"/>
      <c r="G79" s="148"/>
      <c r="H79" s="154">
        <f>SUM(H64)</f>
        <v>8588</v>
      </c>
      <c r="I79" s="154">
        <f>SUM(I64)</f>
        <v>18560.25</v>
      </c>
      <c r="J79" s="154">
        <f>SUM(J64)</f>
        <v>27148.25</v>
      </c>
    </row>
    <row r="80" spans="2:10" x14ac:dyDescent="0.25">
      <c r="B80" s="143" t="s">
        <v>175</v>
      </c>
      <c r="C80" s="143"/>
      <c r="D80" s="148">
        <f>SUM(D65:D66)</f>
        <v>170</v>
      </c>
      <c r="E80" s="148">
        <f t="shared" ref="E80:J80" si="31">SUM(E65:E66)</f>
        <v>51</v>
      </c>
      <c r="F80" s="148"/>
      <c r="G80" s="148"/>
      <c r="H80" s="154">
        <f t="shared" si="31"/>
        <v>247922</v>
      </c>
      <c r="I80" s="154">
        <f t="shared" si="31"/>
        <v>517830.97499999998</v>
      </c>
      <c r="J80" s="154">
        <f t="shared" si="31"/>
        <v>765752.97499999998</v>
      </c>
    </row>
    <row r="81" spans="2:10" x14ac:dyDescent="0.25">
      <c r="B81" s="143" t="s">
        <v>176</v>
      </c>
      <c r="C81" s="143"/>
      <c r="D81" s="148">
        <f>SUM(D67:D68)</f>
        <v>19</v>
      </c>
      <c r="E81" s="148">
        <f t="shared" ref="E81:J81" si="32">SUM(E67:E68)</f>
        <v>9</v>
      </c>
      <c r="F81" s="148"/>
      <c r="G81" s="148"/>
      <c r="H81" s="154">
        <f t="shared" si="32"/>
        <v>42262</v>
      </c>
      <c r="I81" s="154">
        <f t="shared" si="32"/>
        <v>89089.2</v>
      </c>
      <c r="J81" s="154">
        <f t="shared" si="32"/>
        <v>131351.20000000001</v>
      </c>
    </row>
    <row r="82" spans="2:10" ht="26.25" x14ac:dyDescent="0.25">
      <c r="B82" s="143" t="s">
        <v>178</v>
      </c>
      <c r="C82" s="143"/>
      <c r="D82" s="148">
        <f>SUM(D69)</f>
        <v>19</v>
      </c>
      <c r="E82" s="148">
        <f t="shared" ref="E82:J82" si="33">SUM(E69)</f>
        <v>10</v>
      </c>
      <c r="F82" s="148"/>
      <c r="G82" s="148"/>
      <c r="H82" s="154">
        <f t="shared" si="33"/>
        <v>42940</v>
      </c>
      <c r="I82" s="154">
        <f t="shared" si="33"/>
        <v>92801.25</v>
      </c>
      <c r="J82" s="154">
        <f t="shared" si="33"/>
        <v>135741.25</v>
      </c>
    </row>
    <row r="83" spans="2:10" x14ac:dyDescent="0.25">
      <c r="B83" s="190" t="s">
        <v>25</v>
      </c>
      <c r="C83" s="190"/>
      <c r="D83" s="191">
        <f>SUM(D72:D82)</f>
        <v>479</v>
      </c>
      <c r="E83" s="191">
        <f>SUM(E72:E82)</f>
        <v>150</v>
      </c>
      <c r="F83" s="191"/>
      <c r="G83" s="191"/>
      <c r="H83" s="192">
        <f>SUM(H72:H82)</f>
        <v>743992</v>
      </c>
      <c r="I83" s="192">
        <f>SUM(I72:I82)</f>
        <v>1541243.16</v>
      </c>
      <c r="J83" s="192">
        <f>SUM(J72:J82)</f>
        <v>2285235.16</v>
      </c>
    </row>
    <row r="85" spans="2:10" x14ac:dyDescent="0.25">
      <c r="D85" s="191">
        <f>SUM(D24,D44,D83)</f>
        <v>948</v>
      </c>
      <c r="E85" s="191">
        <f>SUM(E24,E44,E83)</f>
        <v>276</v>
      </c>
      <c r="H85" s="192">
        <f>SUM(H24,H44,H83)</f>
        <v>1395776</v>
      </c>
      <c r="I85" s="192">
        <f>SUM(I24,I44,I83)</f>
        <v>2876467.5449999999</v>
      </c>
      <c r="J85" s="192">
        <f>SUM(J24,J44,J83)</f>
        <v>4272243.5449999999</v>
      </c>
    </row>
  </sheetData>
  <mergeCells count="26">
    <mergeCell ref="B2:J2"/>
    <mergeCell ref="B3:B4"/>
    <mergeCell ref="C3:C4"/>
    <mergeCell ref="D3:D4"/>
    <mergeCell ref="B8:B10"/>
    <mergeCell ref="B47:B48"/>
    <mergeCell ref="C47:C48"/>
    <mergeCell ref="D47:D48"/>
    <mergeCell ref="B36:B37"/>
    <mergeCell ref="B52:B54"/>
    <mergeCell ref="B49:B50"/>
    <mergeCell ref="B31:B33"/>
    <mergeCell ref="B34:B35"/>
    <mergeCell ref="B46:J46"/>
    <mergeCell ref="B29:B30"/>
    <mergeCell ref="B11:B12"/>
    <mergeCell ref="B26:J26"/>
    <mergeCell ref="B27:B28"/>
    <mergeCell ref="C27:C28"/>
    <mergeCell ref="D27:D28"/>
    <mergeCell ref="B55:B56"/>
    <mergeCell ref="B57:B59"/>
    <mergeCell ref="B62:B63"/>
    <mergeCell ref="B65:B66"/>
    <mergeCell ref="B67:B68"/>
    <mergeCell ref="B60:B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40"/>
  <sheetViews>
    <sheetView zoomScaleNormal="100" workbookViewId="0">
      <selection activeCell="S33" sqref="S33"/>
    </sheetView>
  </sheetViews>
  <sheetFormatPr defaultColWidth="8.85546875" defaultRowHeight="12.75" x14ac:dyDescent="0.2"/>
  <cols>
    <col min="1" max="1" width="8.85546875" style="1"/>
    <col min="2" max="2" width="15" style="1" customWidth="1"/>
    <col min="3" max="3" width="17.28515625" style="1" customWidth="1"/>
    <col min="4" max="4" width="11.28515625" style="1" customWidth="1"/>
    <col min="5" max="5" width="11.85546875" style="1" customWidth="1"/>
    <col min="6" max="6" width="10.7109375" style="1" customWidth="1"/>
    <col min="7" max="7" width="9.85546875" style="1" customWidth="1"/>
    <col min="8" max="8" width="10.28515625" style="1" customWidth="1"/>
    <col min="9" max="9" width="15.7109375" style="1" customWidth="1"/>
    <col min="10" max="10" width="10.5703125" style="1" customWidth="1"/>
    <col min="11" max="11" width="11.28515625" style="1" customWidth="1"/>
    <col min="12" max="12" width="10" style="1" customWidth="1"/>
    <col min="13" max="13" width="12.7109375" style="1" customWidth="1"/>
    <col min="14" max="15" width="11.140625" style="1" customWidth="1"/>
    <col min="16" max="16" width="11.5703125" style="1" customWidth="1"/>
    <col min="17" max="17" width="17.5703125" style="20" customWidth="1"/>
    <col min="18" max="18" width="9.85546875" style="1" customWidth="1"/>
    <col min="19" max="19" width="13.28515625" style="1" customWidth="1"/>
    <col min="20" max="20" width="11.28515625" style="1" customWidth="1"/>
    <col min="21" max="21" width="9.5703125" style="20" customWidth="1"/>
    <col min="22" max="16384" width="8.85546875" style="1"/>
  </cols>
  <sheetData>
    <row r="1" spans="2:22" ht="13.5" thickBot="1" x14ac:dyDescent="0.25"/>
    <row r="2" spans="2:22" ht="13.5" thickBot="1" x14ac:dyDescent="0.25">
      <c r="B2" s="76" t="s">
        <v>113</v>
      </c>
      <c r="C2" s="387" t="s">
        <v>302</v>
      </c>
      <c r="D2" s="388"/>
      <c r="E2" s="388"/>
      <c r="F2" s="388"/>
      <c r="G2" s="388"/>
      <c r="H2" s="388"/>
      <c r="I2" s="388"/>
      <c r="J2" s="388"/>
      <c r="K2" s="388"/>
      <c r="L2" s="388"/>
      <c r="M2" s="388"/>
      <c r="N2" s="388"/>
      <c r="O2" s="388"/>
      <c r="P2" s="388"/>
      <c r="Q2" s="388"/>
      <c r="R2" s="388"/>
      <c r="S2" s="388"/>
      <c r="T2" s="389"/>
    </row>
    <row r="3" spans="2:22" ht="89.25" customHeight="1" x14ac:dyDescent="0.2">
      <c r="B3" s="409">
        <v>1</v>
      </c>
      <c r="C3" s="344" t="s">
        <v>0</v>
      </c>
      <c r="D3" s="331" t="s">
        <v>1</v>
      </c>
      <c r="E3" s="331" t="s">
        <v>38</v>
      </c>
      <c r="F3" s="107" t="s">
        <v>2</v>
      </c>
      <c r="G3" s="107" t="s">
        <v>44</v>
      </c>
      <c r="H3" s="331" t="s">
        <v>45</v>
      </c>
      <c r="I3" s="331" t="s">
        <v>46</v>
      </c>
      <c r="J3" s="107" t="s">
        <v>4</v>
      </c>
      <c r="K3" s="107" t="s">
        <v>40</v>
      </c>
      <c r="L3" s="107" t="s">
        <v>6</v>
      </c>
      <c r="M3" s="107" t="s">
        <v>42</v>
      </c>
      <c r="N3" s="107" t="s">
        <v>43</v>
      </c>
      <c r="O3" s="107" t="s">
        <v>36</v>
      </c>
      <c r="P3" s="107" t="s">
        <v>9</v>
      </c>
      <c r="Q3" s="107" t="s">
        <v>28</v>
      </c>
      <c r="R3" s="107" t="s">
        <v>33</v>
      </c>
      <c r="S3" s="107" t="s">
        <v>34</v>
      </c>
      <c r="T3" s="34" t="s">
        <v>73</v>
      </c>
    </row>
    <row r="4" spans="2:22" ht="12.75" customHeight="1" x14ac:dyDescent="0.2">
      <c r="B4" s="410"/>
      <c r="C4" s="345"/>
      <c r="D4" s="346"/>
      <c r="E4" s="346"/>
      <c r="F4" s="122" t="s">
        <v>39</v>
      </c>
      <c r="G4" s="122" t="s">
        <v>41</v>
      </c>
      <c r="H4" s="346"/>
      <c r="I4" s="346"/>
      <c r="J4" s="122" t="s">
        <v>5</v>
      </c>
      <c r="K4" s="122" t="s">
        <v>5</v>
      </c>
      <c r="L4" s="122" t="s">
        <v>7</v>
      </c>
      <c r="M4" s="122" t="s">
        <v>8</v>
      </c>
      <c r="N4" s="122" t="s">
        <v>7</v>
      </c>
      <c r="O4" s="122" t="s">
        <v>7</v>
      </c>
      <c r="P4" s="122" t="s">
        <v>7</v>
      </c>
      <c r="Q4" s="122" t="s">
        <v>7</v>
      </c>
      <c r="R4" s="122" t="s">
        <v>7</v>
      </c>
      <c r="S4" s="122" t="s">
        <v>7</v>
      </c>
      <c r="T4" s="33" t="s">
        <v>74</v>
      </c>
    </row>
    <row r="5" spans="2:22" ht="12.75" customHeight="1" x14ac:dyDescent="0.2">
      <c r="B5" s="410"/>
      <c r="C5" s="316" t="s">
        <v>236</v>
      </c>
      <c r="D5" s="412">
        <v>65</v>
      </c>
      <c r="E5" s="412">
        <v>21</v>
      </c>
      <c r="F5" s="337" t="s">
        <v>139</v>
      </c>
      <c r="G5" s="337" t="s">
        <v>105</v>
      </c>
      <c r="H5" s="361" t="s">
        <v>30</v>
      </c>
      <c r="I5" s="19" t="s">
        <v>47</v>
      </c>
      <c r="J5" s="36">
        <v>392.37</v>
      </c>
      <c r="K5" s="337" t="s">
        <v>104</v>
      </c>
      <c r="L5" s="337">
        <f>PODLAGE!D23</f>
        <v>38984.999999999993</v>
      </c>
      <c r="M5" s="10">
        <f>PODLAGE!$D$6</f>
        <v>176</v>
      </c>
      <c r="N5" s="36">
        <f>J5*M5</f>
        <v>69057.119999999995</v>
      </c>
      <c r="O5" s="337">
        <f>PODLAGE!D17</f>
        <v>1130</v>
      </c>
      <c r="P5" s="367">
        <f>SUM(N5:N12)*1.1+O5+L5</f>
        <v>295235.27200000006</v>
      </c>
      <c r="Q5" s="367">
        <f>SUM(P5)</f>
        <v>295235.27200000006</v>
      </c>
      <c r="R5" s="367">
        <f>((D5*PODLAGE!$I$9*PODLAGE!$I$22)+(E5*PODLAGE!$J$20*12))*20</f>
        <v>88570.547999999995</v>
      </c>
      <c r="S5" s="367">
        <f>SUM(Q5:R12)</f>
        <v>383805.82000000007</v>
      </c>
      <c r="T5" s="368">
        <f>S5/D5</f>
        <v>5904.7049230769244</v>
      </c>
    </row>
    <row r="6" spans="2:22" ht="12.75" customHeight="1" x14ac:dyDescent="0.2">
      <c r="B6" s="410"/>
      <c r="C6" s="316"/>
      <c r="D6" s="413"/>
      <c r="E6" s="413"/>
      <c r="F6" s="337"/>
      <c r="G6" s="337"/>
      <c r="H6" s="361"/>
      <c r="I6" s="19" t="s">
        <v>48</v>
      </c>
      <c r="J6" s="36">
        <v>0</v>
      </c>
      <c r="K6" s="337"/>
      <c r="L6" s="337"/>
      <c r="M6" s="10">
        <f>PODLAGE!$D$7</f>
        <v>308</v>
      </c>
      <c r="N6" s="36">
        <f t="shared" ref="N6:N12" si="0">J6*M6</f>
        <v>0</v>
      </c>
      <c r="O6" s="337"/>
      <c r="P6" s="367"/>
      <c r="Q6" s="367"/>
      <c r="R6" s="367"/>
      <c r="S6" s="367"/>
      <c r="T6" s="368"/>
    </row>
    <row r="7" spans="2:22" ht="12.75" customHeight="1" x14ac:dyDescent="0.2">
      <c r="B7" s="410"/>
      <c r="C7" s="316"/>
      <c r="D7" s="413"/>
      <c r="E7" s="413"/>
      <c r="F7" s="337"/>
      <c r="G7" s="337"/>
      <c r="H7" s="361"/>
      <c r="I7" s="19" t="s">
        <v>49</v>
      </c>
      <c r="J7" s="36">
        <v>370.16</v>
      </c>
      <c r="K7" s="337"/>
      <c r="L7" s="337"/>
      <c r="M7" s="10">
        <f>PODLAGE!$D$8</f>
        <v>440</v>
      </c>
      <c r="N7" s="36">
        <f t="shared" si="0"/>
        <v>162870.40000000002</v>
      </c>
      <c r="O7" s="337"/>
      <c r="P7" s="367"/>
      <c r="Q7" s="367"/>
      <c r="R7" s="367"/>
      <c r="S7" s="367"/>
      <c r="T7" s="368"/>
    </row>
    <row r="8" spans="2:22" ht="12.75" customHeight="1" x14ac:dyDescent="0.2">
      <c r="B8" s="410"/>
      <c r="C8" s="316"/>
      <c r="D8" s="413"/>
      <c r="E8" s="413"/>
      <c r="F8" s="337"/>
      <c r="G8" s="337"/>
      <c r="H8" s="361" t="s">
        <v>29</v>
      </c>
      <c r="I8" s="19" t="s">
        <v>47</v>
      </c>
      <c r="J8" s="36">
        <v>0</v>
      </c>
      <c r="K8" s="337"/>
      <c r="L8" s="337"/>
      <c r="M8" s="10">
        <f>PODLAGE!$D$9</f>
        <v>112.99999999999999</v>
      </c>
      <c r="N8" s="36">
        <f t="shared" si="0"/>
        <v>0</v>
      </c>
      <c r="O8" s="337"/>
      <c r="P8" s="367"/>
      <c r="Q8" s="367"/>
      <c r="R8" s="367"/>
      <c r="S8" s="367"/>
      <c r="T8" s="368"/>
      <c r="U8" s="126"/>
    </row>
    <row r="9" spans="2:22" ht="12.75" customHeight="1" x14ac:dyDescent="0.2">
      <c r="B9" s="410"/>
      <c r="C9" s="316"/>
      <c r="D9" s="413"/>
      <c r="E9" s="413"/>
      <c r="F9" s="337"/>
      <c r="G9" s="337"/>
      <c r="H9" s="361"/>
      <c r="I9" s="19" t="s">
        <v>48</v>
      </c>
      <c r="J9" s="36">
        <v>0</v>
      </c>
      <c r="K9" s="337"/>
      <c r="L9" s="337"/>
      <c r="M9" s="10">
        <f>PODLAGE!$D$10</f>
        <v>197.74999999999997</v>
      </c>
      <c r="N9" s="36">
        <f t="shared" si="0"/>
        <v>0</v>
      </c>
      <c r="O9" s="337"/>
      <c r="P9" s="367"/>
      <c r="Q9" s="367"/>
      <c r="R9" s="367"/>
      <c r="S9" s="367"/>
      <c r="T9" s="368"/>
    </row>
    <row r="10" spans="2:22" ht="12.75" customHeight="1" x14ac:dyDescent="0.2">
      <c r="B10" s="410"/>
      <c r="C10" s="316"/>
      <c r="D10" s="413"/>
      <c r="E10" s="413"/>
      <c r="F10" s="337"/>
      <c r="G10" s="337"/>
      <c r="H10" s="361"/>
      <c r="I10" s="19" t="s">
        <v>49</v>
      </c>
      <c r="J10" s="36">
        <v>0</v>
      </c>
      <c r="K10" s="337"/>
      <c r="L10" s="337"/>
      <c r="M10" s="10">
        <f>PODLAGE!$D$11</f>
        <v>282.5</v>
      </c>
      <c r="N10" s="36">
        <f t="shared" si="0"/>
        <v>0</v>
      </c>
      <c r="O10" s="337"/>
      <c r="P10" s="367"/>
      <c r="Q10" s="367"/>
      <c r="R10" s="367"/>
      <c r="S10" s="367"/>
      <c r="T10" s="368"/>
    </row>
    <row r="11" spans="2:22" ht="12.75" customHeight="1" x14ac:dyDescent="0.2">
      <c r="B11" s="410"/>
      <c r="C11" s="316"/>
      <c r="D11" s="413"/>
      <c r="E11" s="413"/>
      <c r="F11" s="337"/>
      <c r="G11" s="337"/>
      <c r="H11" s="361" t="s">
        <v>114</v>
      </c>
      <c r="I11" s="19" t="s">
        <v>115</v>
      </c>
      <c r="J11" s="36">
        <v>0</v>
      </c>
      <c r="K11" s="337"/>
      <c r="L11" s="337"/>
      <c r="M11" s="10">
        <f>PODLAGE!$D$15</f>
        <v>225.99999999999997</v>
      </c>
      <c r="N11" s="36">
        <f t="shared" si="0"/>
        <v>0</v>
      </c>
      <c r="O11" s="337"/>
      <c r="P11" s="367"/>
      <c r="Q11" s="367"/>
      <c r="R11" s="367"/>
      <c r="S11" s="367"/>
      <c r="T11" s="368"/>
    </row>
    <row r="12" spans="2:22" ht="12.75" customHeight="1" x14ac:dyDescent="0.2">
      <c r="B12" s="410"/>
      <c r="C12" s="316"/>
      <c r="D12" s="414"/>
      <c r="E12" s="414"/>
      <c r="F12" s="337"/>
      <c r="G12" s="337"/>
      <c r="H12" s="361"/>
      <c r="I12" s="19" t="s">
        <v>116</v>
      </c>
      <c r="J12" s="36">
        <v>0</v>
      </c>
      <c r="K12" s="337"/>
      <c r="L12" s="337"/>
      <c r="M12" s="10">
        <f>PODLAGE!$D$16</f>
        <v>338.99999999999994</v>
      </c>
      <c r="N12" s="36">
        <f t="shared" si="0"/>
        <v>0</v>
      </c>
      <c r="O12" s="337"/>
      <c r="P12" s="367"/>
      <c r="Q12" s="367"/>
      <c r="R12" s="367"/>
      <c r="S12" s="367"/>
      <c r="T12" s="368"/>
      <c r="V12" s="9"/>
    </row>
    <row r="13" spans="2:22" ht="89.25" customHeight="1" x14ac:dyDescent="0.2">
      <c r="B13" s="410"/>
      <c r="C13" s="383" t="s">
        <v>20</v>
      </c>
      <c r="D13" s="384" t="s">
        <v>31</v>
      </c>
      <c r="E13" s="382" t="s">
        <v>1</v>
      </c>
      <c r="F13" s="112" t="s">
        <v>10</v>
      </c>
      <c r="G13" s="112" t="s">
        <v>12</v>
      </c>
      <c r="H13" s="382" t="s">
        <v>14</v>
      </c>
      <c r="I13" s="382" t="s">
        <v>14</v>
      </c>
      <c r="J13" s="382" t="s">
        <v>14</v>
      </c>
      <c r="K13" s="382" t="s">
        <v>14</v>
      </c>
      <c r="L13" s="382" t="s">
        <v>14</v>
      </c>
      <c r="M13" s="382" t="s">
        <v>14</v>
      </c>
      <c r="N13" s="382" t="s">
        <v>14</v>
      </c>
      <c r="O13" s="112" t="s">
        <v>36</v>
      </c>
      <c r="P13" s="112" t="s">
        <v>15</v>
      </c>
      <c r="Q13" s="112" t="s">
        <v>28</v>
      </c>
      <c r="R13" s="112" t="s">
        <v>33</v>
      </c>
      <c r="S13" s="112" t="s">
        <v>34</v>
      </c>
      <c r="T13" s="80" t="s">
        <v>73</v>
      </c>
    </row>
    <row r="14" spans="2:22" ht="12.75" customHeight="1" thickBot="1" x14ac:dyDescent="0.25">
      <c r="B14" s="410"/>
      <c r="C14" s="345"/>
      <c r="D14" s="385"/>
      <c r="E14" s="346"/>
      <c r="F14" s="122" t="s">
        <v>11</v>
      </c>
      <c r="G14" s="122" t="s">
        <v>13</v>
      </c>
      <c r="H14" s="346"/>
      <c r="I14" s="346"/>
      <c r="J14" s="346"/>
      <c r="K14" s="346"/>
      <c r="L14" s="346"/>
      <c r="M14" s="346"/>
      <c r="N14" s="346"/>
      <c r="O14" s="122" t="s">
        <v>7</v>
      </c>
      <c r="P14" s="122" t="s">
        <v>7</v>
      </c>
      <c r="Q14" s="122" t="s">
        <v>7</v>
      </c>
      <c r="R14" s="122" t="s">
        <v>7</v>
      </c>
      <c r="S14" s="122" t="s">
        <v>7</v>
      </c>
      <c r="T14" s="33" t="s">
        <v>74</v>
      </c>
    </row>
    <row r="15" spans="2:22" ht="12.75" customHeight="1" x14ac:dyDescent="0.2">
      <c r="B15" s="410"/>
      <c r="C15" s="316" t="s">
        <v>235</v>
      </c>
      <c r="D15" s="4" t="s">
        <v>16</v>
      </c>
      <c r="E15" s="7">
        <v>45</v>
      </c>
      <c r="F15" s="7">
        <v>18</v>
      </c>
      <c r="G15" s="5">
        <f>PODLAGE!$E$37</f>
        <v>4294</v>
      </c>
      <c r="H15" s="113" t="s">
        <v>14</v>
      </c>
      <c r="I15" s="113" t="s">
        <v>14</v>
      </c>
      <c r="J15" s="113" t="s">
        <v>14</v>
      </c>
      <c r="K15" s="113" t="s">
        <v>14</v>
      </c>
      <c r="L15" s="113" t="s">
        <v>14</v>
      </c>
      <c r="M15" s="113" t="s">
        <v>14</v>
      </c>
      <c r="N15" s="113" t="s">
        <v>14</v>
      </c>
      <c r="O15" s="370">
        <v>0</v>
      </c>
      <c r="P15" s="77">
        <f>F15*G15</f>
        <v>77292</v>
      </c>
      <c r="Q15" s="367">
        <f>SUM(O15:P16)</f>
        <v>101022</v>
      </c>
      <c r="R15" s="10">
        <f>F15*PODLAGE!$K$25</f>
        <v>167042.25</v>
      </c>
      <c r="S15" s="367">
        <f>SUM(Q15:R16)</f>
        <v>312608.84999999998</v>
      </c>
      <c r="T15" s="368">
        <f>S15/D5</f>
        <v>4809.3669230769228</v>
      </c>
      <c r="U15" s="415" t="s">
        <v>206</v>
      </c>
    </row>
    <row r="16" spans="2:22" ht="13.5" customHeight="1" thickBot="1" x14ac:dyDescent="0.25">
      <c r="B16" s="411"/>
      <c r="C16" s="317"/>
      <c r="D16" s="25" t="s">
        <v>17</v>
      </c>
      <c r="E16" s="28">
        <v>20</v>
      </c>
      <c r="F16" s="7">
        <v>3</v>
      </c>
      <c r="G16" s="26">
        <f>PODLAGE!$E$38</f>
        <v>7909.9999999999991</v>
      </c>
      <c r="H16" s="114" t="s">
        <v>14</v>
      </c>
      <c r="I16" s="114" t="s">
        <v>14</v>
      </c>
      <c r="J16" s="114" t="s">
        <v>14</v>
      </c>
      <c r="K16" s="114" t="s">
        <v>14</v>
      </c>
      <c r="L16" s="114" t="s">
        <v>14</v>
      </c>
      <c r="M16" s="114" t="s">
        <v>14</v>
      </c>
      <c r="N16" s="114" t="s">
        <v>14</v>
      </c>
      <c r="O16" s="398"/>
      <c r="P16" s="74">
        <f>F16*G16</f>
        <v>23729.999999999996</v>
      </c>
      <c r="Q16" s="401"/>
      <c r="R16" s="72">
        <f>F16*PODLAGE!$K$26</f>
        <v>44544.599999999991</v>
      </c>
      <c r="S16" s="401"/>
      <c r="T16" s="417"/>
      <c r="U16" s="416"/>
    </row>
    <row r="17" spans="2:22" ht="89.25" customHeight="1" x14ac:dyDescent="0.2">
      <c r="B17" s="409">
        <v>2</v>
      </c>
      <c r="C17" s="344" t="s">
        <v>0</v>
      </c>
      <c r="D17" s="331" t="s">
        <v>1</v>
      </c>
      <c r="E17" s="331" t="s">
        <v>38</v>
      </c>
      <c r="F17" s="107" t="s">
        <v>2</v>
      </c>
      <c r="G17" s="107" t="s">
        <v>44</v>
      </c>
      <c r="H17" s="331" t="s">
        <v>45</v>
      </c>
      <c r="I17" s="331" t="s">
        <v>46</v>
      </c>
      <c r="J17" s="107" t="s">
        <v>4</v>
      </c>
      <c r="K17" s="107" t="s">
        <v>40</v>
      </c>
      <c r="L17" s="107" t="s">
        <v>6</v>
      </c>
      <c r="M17" s="107" t="s">
        <v>42</v>
      </c>
      <c r="N17" s="107" t="s">
        <v>43</v>
      </c>
      <c r="O17" s="107" t="s">
        <v>36</v>
      </c>
      <c r="P17" s="107" t="s">
        <v>9</v>
      </c>
      <c r="Q17" s="107" t="s">
        <v>28</v>
      </c>
      <c r="R17" s="107" t="s">
        <v>33</v>
      </c>
      <c r="S17" s="107" t="s">
        <v>34</v>
      </c>
      <c r="T17" s="34" t="s">
        <v>73</v>
      </c>
    </row>
    <row r="18" spans="2:22" ht="12.75" customHeight="1" x14ac:dyDescent="0.2">
      <c r="B18" s="410"/>
      <c r="C18" s="345"/>
      <c r="D18" s="346"/>
      <c r="E18" s="346"/>
      <c r="F18" s="122" t="s">
        <v>39</v>
      </c>
      <c r="G18" s="122" t="s">
        <v>41</v>
      </c>
      <c r="H18" s="346"/>
      <c r="I18" s="346"/>
      <c r="J18" s="122" t="s">
        <v>5</v>
      </c>
      <c r="K18" s="122" t="s">
        <v>5</v>
      </c>
      <c r="L18" s="122" t="s">
        <v>7</v>
      </c>
      <c r="M18" s="122" t="s">
        <v>8</v>
      </c>
      <c r="N18" s="122" t="s">
        <v>7</v>
      </c>
      <c r="O18" s="122" t="s">
        <v>7</v>
      </c>
      <c r="P18" s="122" t="s">
        <v>7</v>
      </c>
      <c r="Q18" s="122" t="s">
        <v>7</v>
      </c>
      <c r="R18" s="122" t="s">
        <v>7</v>
      </c>
      <c r="S18" s="122" t="s">
        <v>7</v>
      </c>
      <c r="T18" s="33" t="s">
        <v>74</v>
      </c>
    </row>
    <row r="19" spans="2:22" ht="12.75" customHeight="1" x14ac:dyDescent="0.2">
      <c r="B19" s="410"/>
      <c r="C19" s="316" t="s">
        <v>237</v>
      </c>
      <c r="D19" s="350">
        <v>8</v>
      </c>
      <c r="E19" s="350">
        <v>4</v>
      </c>
      <c r="F19" s="337" t="s">
        <v>138</v>
      </c>
      <c r="G19" s="337" t="s">
        <v>105</v>
      </c>
      <c r="H19" s="361" t="s">
        <v>30</v>
      </c>
      <c r="I19" s="19" t="s">
        <v>47</v>
      </c>
      <c r="J19" s="36">
        <v>47.379999999999995</v>
      </c>
      <c r="K19" s="337" t="s">
        <v>104</v>
      </c>
      <c r="L19" s="337">
        <f>PODLAGE!$D$19</f>
        <v>9266</v>
      </c>
      <c r="M19" s="10">
        <f>PODLAGE!$D$6</f>
        <v>176</v>
      </c>
      <c r="N19" s="36">
        <f>J19*M19</f>
        <v>8338.8799999999992</v>
      </c>
      <c r="O19" s="337">
        <f>PODLAGE!D17</f>
        <v>1130</v>
      </c>
      <c r="P19" s="367">
        <f>SUM(N19:N26)*1.1+O19+L19</f>
        <v>148598.32800000001</v>
      </c>
      <c r="Q19" s="367">
        <f>SUM(P19)</f>
        <v>148598.32800000001</v>
      </c>
      <c r="R19" s="367">
        <f>((D19*PODLAGE!$I$9*PODLAGE!$I$22)+(E19*PODLAGE!$J$20*12))*20</f>
        <v>11517.158399999998</v>
      </c>
      <c r="S19" s="367">
        <f>SUM(Q19:R26)</f>
        <v>160115.48639999999</v>
      </c>
      <c r="T19" s="368">
        <f>S19/D19</f>
        <v>20014.435799999999</v>
      </c>
    </row>
    <row r="20" spans="2:22" ht="12.75" customHeight="1" x14ac:dyDescent="0.2">
      <c r="B20" s="410"/>
      <c r="C20" s="316"/>
      <c r="D20" s="350"/>
      <c r="E20" s="350"/>
      <c r="F20" s="337"/>
      <c r="G20" s="337"/>
      <c r="H20" s="361"/>
      <c r="I20" s="19" t="s">
        <v>48</v>
      </c>
      <c r="J20" s="36">
        <v>0</v>
      </c>
      <c r="K20" s="337"/>
      <c r="L20" s="337"/>
      <c r="M20" s="10">
        <f>PODLAGE!$D$7</f>
        <v>308</v>
      </c>
      <c r="N20" s="36">
        <f t="shared" ref="N20:N26" si="1">J20*M20</f>
        <v>0</v>
      </c>
      <c r="O20" s="337"/>
      <c r="P20" s="367"/>
      <c r="Q20" s="367"/>
      <c r="R20" s="367"/>
      <c r="S20" s="367"/>
      <c r="T20" s="368"/>
    </row>
    <row r="21" spans="2:22" ht="12.75" customHeight="1" x14ac:dyDescent="0.2">
      <c r="B21" s="410"/>
      <c r="C21" s="316"/>
      <c r="D21" s="350"/>
      <c r="E21" s="350"/>
      <c r="F21" s="337"/>
      <c r="G21" s="337"/>
      <c r="H21" s="361"/>
      <c r="I21" s="19" t="s">
        <v>49</v>
      </c>
      <c r="J21" s="36">
        <v>266.58999999999997</v>
      </c>
      <c r="K21" s="337"/>
      <c r="L21" s="337"/>
      <c r="M21" s="10">
        <f>PODLAGE!$D$8</f>
        <v>440</v>
      </c>
      <c r="N21" s="36">
        <f t="shared" si="1"/>
        <v>117299.59999999999</v>
      </c>
      <c r="O21" s="337"/>
      <c r="P21" s="367"/>
      <c r="Q21" s="367"/>
      <c r="R21" s="367"/>
      <c r="S21" s="367"/>
      <c r="T21" s="368"/>
    </row>
    <row r="22" spans="2:22" ht="12.75" customHeight="1" x14ac:dyDescent="0.2">
      <c r="B22" s="410"/>
      <c r="C22" s="316"/>
      <c r="D22" s="350"/>
      <c r="E22" s="350"/>
      <c r="F22" s="337"/>
      <c r="G22" s="337"/>
      <c r="H22" s="361" t="s">
        <v>29</v>
      </c>
      <c r="I22" s="19" t="s">
        <v>47</v>
      </c>
      <c r="J22" s="36">
        <v>0</v>
      </c>
      <c r="K22" s="337"/>
      <c r="L22" s="337"/>
      <c r="M22" s="10">
        <f>PODLAGE!$D$9</f>
        <v>112.99999999999999</v>
      </c>
      <c r="N22" s="36">
        <f t="shared" si="1"/>
        <v>0</v>
      </c>
      <c r="O22" s="337"/>
      <c r="P22" s="367"/>
      <c r="Q22" s="367"/>
      <c r="R22" s="367"/>
      <c r="S22" s="367"/>
      <c r="T22" s="368"/>
      <c r="U22" s="126"/>
    </row>
    <row r="23" spans="2:22" ht="12.75" customHeight="1" x14ac:dyDescent="0.2">
      <c r="B23" s="410"/>
      <c r="C23" s="316"/>
      <c r="D23" s="350"/>
      <c r="E23" s="350"/>
      <c r="F23" s="337"/>
      <c r="G23" s="337"/>
      <c r="H23" s="361"/>
      <c r="I23" s="19" t="s">
        <v>48</v>
      </c>
      <c r="J23" s="36">
        <v>0</v>
      </c>
      <c r="K23" s="337"/>
      <c r="L23" s="337"/>
      <c r="M23" s="10">
        <f>PODLAGE!$D$10</f>
        <v>197.74999999999997</v>
      </c>
      <c r="N23" s="36">
        <f t="shared" si="1"/>
        <v>0</v>
      </c>
      <c r="O23" s="337"/>
      <c r="P23" s="367"/>
      <c r="Q23" s="367"/>
      <c r="R23" s="367"/>
      <c r="S23" s="367"/>
      <c r="T23" s="368"/>
    </row>
    <row r="24" spans="2:22" ht="12.75" customHeight="1" x14ac:dyDescent="0.2">
      <c r="B24" s="410"/>
      <c r="C24" s="316"/>
      <c r="D24" s="350"/>
      <c r="E24" s="350"/>
      <c r="F24" s="337"/>
      <c r="G24" s="337"/>
      <c r="H24" s="361"/>
      <c r="I24" s="19" t="s">
        <v>49</v>
      </c>
      <c r="J24" s="36">
        <v>0</v>
      </c>
      <c r="K24" s="337"/>
      <c r="L24" s="337"/>
      <c r="M24" s="10">
        <f>PODLAGE!$D$11</f>
        <v>282.5</v>
      </c>
      <c r="N24" s="36">
        <f t="shared" si="1"/>
        <v>0</v>
      </c>
      <c r="O24" s="337"/>
      <c r="P24" s="367"/>
      <c r="Q24" s="367"/>
      <c r="R24" s="367"/>
      <c r="S24" s="367"/>
      <c r="T24" s="368"/>
    </row>
    <row r="25" spans="2:22" ht="12.75" customHeight="1" x14ac:dyDescent="0.2">
      <c r="B25" s="410"/>
      <c r="C25" s="316"/>
      <c r="D25" s="350"/>
      <c r="E25" s="350"/>
      <c r="F25" s="337"/>
      <c r="G25" s="337"/>
      <c r="H25" s="361" t="s">
        <v>114</v>
      </c>
      <c r="I25" s="19" t="s">
        <v>115</v>
      </c>
      <c r="J25" s="36">
        <v>0</v>
      </c>
      <c r="K25" s="337"/>
      <c r="L25" s="337"/>
      <c r="M25" s="10">
        <f>PODLAGE!$D$15</f>
        <v>225.99999999999997</v>
      </c>
      <c r="N25" s="36">
        <f t="shared" si="1"/>
        <v>0</v>
      </c>
      <c r="O25" s="337"/>
      <c r="P25" s="367"/>
      <c r="Q25" s="367"/>
      <c r="R25" s="367"/>
      <c r="S25" s="367"/>
      <c r="T25" s="368"/>
    </row>
    <row r="26" spans="2:22" ht="12.75" customHeight="1" x14ac:dyDescent="0.2">
      <c r="B26" s="410"/>
      <c r="C26" s="316"/>
      <c r="D26" s="350"/>
      <c r="E26" s="350"/>
      <c r="F26" s="337"/>
      <c r="G26" s="337"/>
      <c r="H26" s="361"/>
      <c r="I26" s="19" t="s">
        <v>116</v>
      </c>
      <c r="J26" s="36">
        <v>0</v>
      </c>
      <c r="K26" s="337"/>
      <c r="L26" s="337"/>
      <c r="M26" s="10">
        <f>PODLAGE!$D$16</f>
        <v>338.99999999999994</v>
      </c>
      <c r="N26" s="36">
        <f t="shared" si="1"/>
        <v>0</v>
      </c>
      <c r="O26" s="337"/>
      <c r="P26" s="367"/>
      <c r="Q26" s="367"/>
      <c r="R26" s="367"/>
      <c r="S26" s="367"/>
      <c r="T26" s="368"/>
      <c r="V26" s="9"/>
    </row>
    <row r="27" spans="2:22" ht="89.25" customHeight="1" x14ac:dyDescent="0.2">
      <c r="B27" s="410"/>
      <c r="C27" s="383" t="s">
        <v>20</v>
      </c>
      <c r="D27" s="384" t="s">
        <v>31</v>
      </c>
      <c r="E27" s="382" t="s">
        <v>1</v>
      </c>
      <c r="F27" s="112" t="s">
        <v>10</v>
      </c>
      <c r="G27" s="112" t="s">
        <v>12</v>
      </c>
      <c r="H27" s="382" t="s">
        <v>14</v>
      </c>
      <c r="I27" s="382" t="s">
        <v>14</v>
      </c>
      <c r="J27" s="382" t="s">
        <v>14</v>
      </c>
      <c r="K27" s="382" t="s">
        <v>14</v>
      </c>
      <c r="L27" s="382" t="s">
        <v>14</v>
      </c>
      <c r="M27" s="382" t="s">
        <v>14</v>
      </c>
      <c r="N27" s="382" t="s">
        <v>14</v>
      </c>
      <c r="O27" s="112" t="s">
        <v>36</v>
      </c>
      <c r="P27" s="112" t="s">
        <v>15</v>
      </c>
      <c r="Q27" s="112" t="s">
        <v>28</v>
      </c>
      <c r="R27" s="112" t="s">
        <v>33</v>
      </c>
      <c r="S27" s="112" t="s">
        <v>34</v>
      </c>
      <c r="T27" s="80" t="s">
        <v>73</v>
      </c>
    </row>
    <row r="28" spans="2:22" ht="12.75" customHeight="1" thickBot="1" x14ac:dyDescent="0.25">
      <c r="B28" s="410"/>
      <c r="C28" s="345"/>
      <c r="D28" s="385"/>
      <c r="E28" s="346"/>
      <c r="F28" s="122" t="s">
        <v>11</v>
      </c>
      <c r="G28" s="122" t="s">
        <v>13</v>
      </c>
      <c r="H28" s="346"/>
      <c r="I28" s="346"/>
      <c r="J28" s="346"/>
      <c r="K28" s="346"/>
      <c r="L28" s="346"/>
      <c r="M28" s="346"/>
      <c r="N28" s="346"/>
      <c r="O28" s="122" t="s">
        <v>7</v>
      </c>
      <c r="P28" s="122" t="s">
        <v>7</v>
      </c>
      <c r="Q28" s="122" t="s">
        <v>7</v>
      </c>
      <c r="R28" s="122" t="s">
        <v>7</v>
      </c>
      <c r="S28" s="122" t="s">
        <v>7</v>
      </c>
      <c r="T28" s="33" t="s">
        <v>74</v>
      </c>
    </row>
    <row r="29" spans="2:22" ht="12.75" customHeight="1" thickBot="1" x14ac:dyDescent="0.3">
      <c r="B29" s="411"/>
      <c r="C29" s="111" t="s">
        <v>235</v>
      </c>
      <c r="D29" s="25" t="s">
        <v>16</v>
      </c>
      <c r="E29" s="182">
        <v>8</v>
      </c>
      <c r="F29" s="183">
        <v>4</v>
      </c>
      <c r="G29" s="26">
        <f>PODLAGE!$E$37</f>
        <v>4294</v>
      </c>
      <c r="H29" s="114" t="s">
        <v>14</v>
      </c>
      <c r="I29" s="114" t="s">
        <v>14</v>
      </c>
      <c r="J29" s="114" t="s">
        <v>14</v>
      </c>
      <c r="K29" s="114" t="s">
        <v>14</v>
      </c>
      <c r="L29" s="114" t="s">
        <v>14</v>
      </c>
      <c r="M29" s="114" t="s">
        <v>14</v>
      </c>
      <c r="N29" s="114" t="s">
        <v>14</v>
      </c>
      <c r="O29" s="114">
        <v>0</v>
      </c>
      <c r="P29" s="74">
        <f>F29*G29</f>
        <v>17176</v>
      </c>
      <c r="Q29" s="123">
        <f>SUM(O29:P29)</f>
        <v>17176</v>
      </c>
      <c r="R29" s="72">
        <f>F29*PODLAGE!$K$25</f>
        <v>37120.5</v>
      </c>
      <c r="S29" s="123">
        <f>SUM(Q29:R29)</f>
        <v>54296.5</v>
      </c>
      <c r="T29" s="132">
        <f>S29/E29</f>
        <v>6787.0625</v>
      </c>
      <c r="U29" s="127" t="s">
        <v>206</v>
      </c>
    </row>
    <row r="31" spans="2:22" x14ac:dyDescent="0.2">
      <c r="D31" s="143" t="s">
        <v>141</v>
      </c>
      <c r="E31" s="143">
        <v>10</v>
      </c>
      <c r="F31" s="143">
        <v>3</v>
      </c>
      <c r="Q31" s="141">
        <f>Q36+Q37</f>
        <v>16498</v>
      </c>
      <c r="R31" s="259">
        <f>SUM(R36:R37)</f>
        <v>33408.449999999997</v>
      </c>
      <c r="S31" s="259">
        <f>SUM(Q31:R31)</f>
        <v>49906.45</v>
      </c>
    </row>
    <row r="32" spans="2:22" x14ac:dyDescent="0.2">
      <c r="D32" s="143" t="s">
        <v>72</v>
      </c>
      <c r="E32" s="143">
        <v>63</v>
      </c>
      <c r="F32" s="143">
        <v>22</v>
      </c>
      <c r="Q32" s="141">
        <f>SUM(Q38:Q39)</f>
        <v>101700</v>
      </c>
      <c r="R32" s="259">
        <f>SUM(R38:R39)</f>
        <v>215298.9</v>
      </c>
      <c r="S32" s="259">
        <f>SUM(Q32:R32)</f>
        <v>316998.90000000002</v>
      </c>
    </row>
    <row r="33" spans="3:19" x14ac:dyDescent="0.2">
      <c r="C33" s="1" t="s">
        <v>209</v>
      </c>
      <c r="D33" s="1" t="s">
        <v>35</v>
      </c>
      <c r="E33" s="95">
        <f>SUM(E31:E32)</f>
        <v>73</v>
      </c>
      <c r="F33" s="95">
        <f>SUM(F31:F32)</f>
        <v>25</v>
      </c>
      <c r="Q33" s="93">
        <f>SUM(Q15:Q16,Q29)</f>
        <v>118198</v>
      </c>
      <c r="R33" s="93">
        <f>SUM(R15:R16,R29)</f>
        <v>248707.34999999998</v>
      </c>
      <c r="S33" s="93">
        <f>SUM(S15:S16,S29)</f>
        <v>366905.35</v>
      </c>
    </row>
    <row r="36" spans="3:19" x14ac:dyDescent="0.2">
      <c r="C36" s="403" t="s">
        <v>141</v>
      </c>
      <c r="D36" s="4" t="s">
        <v>16</v>
      </c>
      <c r="E36" s="7">
        <v>3</v>
      </c>
      <c r="F36" s="7">
        <v>2</v>
      </c>
      <c r="G36" s="92">
        <f>PODLAGE!$E$37</f>
        <v>4294</v>
      </c>
      <c r="Q36" s="77">
        <f>F36*G36</f>
        <v>8588</v>
      </c>
      <c r="R36" s="77">
        <f>F36*PODLAGE!$K$25</f>
        <v>18560.25</v>
      </c>
      <c r="S36" s="155">
        <f>SUM(R36,Q36)</f>
        <v>27148.25</v>
      </c>
    </row>
    <row r="37" spans="3:19" x14ac:dyDescent="0.2">
      <c r="C37" s="403"/>
      <c r="D37" s="4" t="s">
        <v>17</v>
      </c>
      <c r="E37" s="7">
        <v>7</v>
      </c>
      <c r="F37" s="7">
        <v>1</v>
      </c>
      <c r="G37" s="92">
        <f>PODLAGE!$E$38</f>
        <v>7909.9999999999991</v>
      </c>
      <c r="Q37" s="77">
        <f>F37*G37</f>
        <v>7909.9999999999991</v>
      </c>
      <c r="R37" s="77">
        <f>F37*PODLAGE!$K$26</f>
        <v>14848.199999999997</v>
      </c>
      <c r="S37" s="155">
        <f>SUM(R37,Q37)</f>
        <v>22758.199999999997</v>
      </c>
    </row>
    <row r="38" spans="3:19" x14ac:dyDescent="0.2">
      <c r="C38" s="403" t="s">
        <v>72</v>
      </c>
      <c r="D38" s="4" t="s">
        <v>16</v>
      </c>
      <c r="E38" s="7">
        <v>50</v>
      </c>
      <c r="F38" s="7">
        <v>20</v>
      </c>
      <c r="G38" s="92">
        <f>PODLAGE!$E$37</f>
        <v>4294</v>
      </c>
      <c r="Q38" s="77">
        <f>F38*G38</f>
        <v>85880</v>
      </c>
      <c r="R38" s="77">
        <f>F38*PODLAGE!$K$25</f>
        <v>185602.5</v>
      </c>
      <c r="S38" s="155">
        <f>SUM(R38,Q38)</f>
        <v>271482.5</v>
      </c>
    </row>
    <row r="39" spans="3:19" x14ac:dyDescent="0.2">
      <c r="C39" s="403"/>
      <c r="D39" s="4" t="s">
        <v>17</v>
      </c>
      <c r="E39" s="7">
        <v>13</v>
      </c>
      <c r="F39" s="7">
        <v>2</v>
      </c>
      <c r="G39" s="92">
        <f>PODLAGE!$E$38</f>
        <v>7909.9999999999991</v>
      </c>
      <c r="Q39" s="77">
        <f>F39*G39</f>
        <v>15819.999999999998</v>
      </c>
      <c r="R39" s="77">
        <f>F39*PODLAGE!$K$26</f>
        <v>29696.399999999994</v>
      </c>
      <c r="S39" s="155">
        <f>SUM(R39,Q39)</f>
        <v>45516.399999999994</v>
      </c>
    </row>
    <row r="40" spans="3:19" x14ac:dyDescent="0.2">
      <c r="C40" s="92"/>
      <c r="D40" s="92"/>
      <c r="E40" s="7">
        <f>SUM(E36:E39)</f>
        <v>73</v>
      </c>
      <c r="F40" s="7">
        <f>SUM(F36:F39)</f>
        <v>25</v>
      </c>
      <c r="G40" s="92"/>
      <c r="Q40" s="155">
        <f>SUM(Q36:Q39)</f>
        <v>118198</v>
      </c>
      <c r="R40" s="155">
        <f>SUM(R36:R39)</f>
        <v>248707.35</v>
      </c>
      <c r="S40" s="155">
        <f>SUM(S36:S39)</f>
        <v>366905.35</v>
      </c>
    </row>
  </sheetData>
  <mergeCells count="73">
    <mergeCell ref="C36:C37"/>
    <mergeCell ref="C38:C39"/>
    <mergeCell ref="C27:C28"/>
    <mergeCell ref="D27:D28"/>
    <mergeCell ref="E27:E28"/>
    <mergeCell ref="H27:H28"/>
    <mergeCell ref="I27:I28"/>
    <mergeCell ref="J27:J28"/>
    <mergeCell ref="S15:S16"/>
    <mergeCell ref="T15:T16"/>
    <mergeCell ref="U15:U16"/>
    <mergeCell ref="B17:B29"/>
    <mergeCell ref="C17:C18"/>
    <mergeCell ref="D17:D18"/>
    <mergeCell ref="E17:E18"/>
    <mergeCell ref="H17:H18"/>
    <mergeCell ref="I17:I18"/>
    <mergeCell ref="K27:K28"/>
    <mergeCell ref="L27:L28"/>
    <mergeCell ref="M27:M28"/>
    <mergeCell ref="N27:N28"/>
    <mergeCell ref="S19:S26"/>
    <mergeCell ref="T19:T26"/>
    <mergeCell ref="P19:P26"/>
    <mergeCell ref="Q19:Q26"/>
    <mergeCell ref="R19:R26"/>
    <mergeCell ref="C19:C26"/>
    <mergeCell ref="D19:D26"/>
    <mergeCell ref="K19:K26"/>
    <mergeCell ref="L19:L26"/>
    <mergeCell ref="O19:O26"/>
    <mergeCell ref="E19:E26"/>
    <mergeCell ref="F19:F26"/>
    <mergeCell ref="G19:G26"/>
    <mergeCell ref="H19:H21"/>
    <mergeCell ref="H22:H24"/>
    <mergeCell ref="H25:H26"/>
    <mergeCell ref="C15:C16"/>
    <mergeCell ref="O15:O16"/>
    <mergeCell ref="C13:C14"/>
    <mergeCell ref="D13:D14"/>
    <mergeCell ref="E13:E14"/>
    <mergeCell ref="H13:H14"/>
    <mergeCell ref="I13:I14"/>
    <mergeCell ref="J13:J14"/>
    <mergeCell ref="H8:H10"/>
    <mergeCell ref="Q15:Q16"/>
    <mergeCell ref="G5:G12"/>
    <mergeCell ref="H5:H7"/>
    <mergeCell ref="K5:K12"/>
    <mergeCell ref="L5:L12"/>
    <mergeCell ref="O5:O12"/>
    <mergeCell ref="K13:K14"/>
    <mergeCell ref="L13:L14"/>
    <mergeCell ref="M13:M14"/>
    <mergeCell ref="N13:N14"/>
    <mergeCell ref="H11:H12"/>
    <mergeCell ref="F5:F12"/>
    <mergeCell ref="C2:T2"/>
    <mergeCell ref="B3:B16"/>
    <mergeCell ref="C3:C4"/>
    <mergeCell ref="D3:D4"/>
    <mergeCell ref="E3:E4"/>
    <mergeCell ref="H3:H4"/>
    <mergeCell ref="I3:I4"/>
    <mergeCell ref="C5:C12"/>
    <mergeCell ref="D5:D12"/>
    <mergeCell ref="E5:E12"/>
    <mergeCell ref="P5:P12"/>
    <mergeCell ref="Q5:Q12"/>
    <mergeCell ref="R5:R12"/>
    <mergeCell ref="S5:S12"/>
    <mergeCell ref="T5:T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U17"/>
  <sheetViews>
    <sheetView workbookViewId="0">
      <selection activeCell="J13" sqref="J13"/>
    </sheetView>
  </sheetViews>
  <sheetFormatPr defaultColWidth="8.85546875" defaultRowHeight="12.75" x14ac:dyDescent="0.2"/>
  <cols>
    <col min="1" max="1" width="4.28515625" style="1" customWidth="1"/>
    <col min="2" max="2" width="19.5703125" style="1" customWidth="1"/>
    <col min="3" max="3" width="15.7109375" style="1" customWidth="1"/>
    <col min="4" max="4" width="15.7109375" style="27" customWidth="1"/>
    <col min="5" max="7" width="15.7109375" style="1" customWidth="1"/>
    <col min="8" max="8" width="14" style="32" bestFit="1" customWidth="1"/>
    <col min="9" max="9" width="10" style="32" bestFit="1" customWidth="1"/>
    <col min="10" max="10" width="17.7109375" style="32" customWidth="1"/>
    <col min="11" max="16384" width="8.85546875" style="1"/>
  </cols>
  <sheetData>
    <row r="1" spans="2:73" ht="13.5" thickBot="1" x14ac:dyDescent="0.25"/>
    <row r="2" spans="2:73" ht="13.5" thickBot="1" x14ac:dyDescent="0.25">
      <c r="B2" s="318" t="s">
        <v>121</v>
      </c>
      <c r="C2" s="319"/>
      <c r="D2" s="319"/>
      <c r="E2" s="319"/>
      <c r="F2" s="319"/>
      <c r="G2" s="319"/>
      <c r="H2" s="319"/>
      <c r="I2" s="319"/>
      <c r="J2" s="320"/>
      <c r="BU2" s="3"/>
    </row>
    <row r="3" spans="2:73" ht="51" x14ac:dyDescent="0.2">
      <c r="B3" s="344" t="s">
        <v>20</v>
      </c>
      <c r="C3" s="393" t="s">
        <v>31</v>
      </c>
      <c r="D3" s="331" t="s">
        <v>1</v>
      </c>
      <c r="E3" s="107" t="s">
        <v>10</v>
      </c>
      <c r="F3" s="107" t="s">
        <v>67</v>
      </c>
      <c r="G3" s="107" t="s">
        <v>15</v>
      </c>
      <c r="H3" s="15" t="s">
        <v>28</v>
      </c>
      <c r="I3" s="15" t="s">
        <v>33</v>
      </c>
      <c r="J3" s="16" t="s">
        <v>34</v>
      </c>
    </row>
    <row r="4" spans="2:73" ht="13.5" thickBot="1" x14ac:dyDescent="0.25">
      <c r="B4" s="404"/>
      <c r="C4" s="405"/>
      <c r="D4" s="332"/>
      <c r="E4" s="108" t="s">
        <v>11</v>
      </c>
      <c r="F4" s="108" t="s">
        <v>13</v>
      </c>
      <c r="G4" s="108" t="s">
        <v>7</v>
      </c>
      <c r="H4" s="184" t="s">
        <v>7</v>
      </c>
      <c r="I4" s="184" t="s">
        <v>7</v>
      </c>
      <c r="J4" s="185" t="s">
        <v>7</v>
      </c>
    </row>
    <row r="5" spans="2:73" ht="12.75" customHeight="1" x14ac:dyDescent="0.2">
      <c r="B5" s="186" t="s">
        <v>164</v>
      </c>
      <c r="C5" s="160" t="s">
        <v>197</v>
      </c>
      <c r="D5" s="187">
        <v>200</v>
      </c>
      <c r="E5" s="187">
        <v>1</v>
      </c>
      <c r="F5" s="188">
        <f>PODLAGE!$E$27</f>
        <v>175771.5</v>
      </c>
      <c r="G5" s="188">
        <f t="shared" ref="G5:G10" si="0">E5*F5</f>
        <v>175771.5</v>
      </c>
      <c r="H5" s="172">
        <f t="shared" ref="H5:H10" si="1">SUM(G5:G5)</f>
        <v>175771.5</v>
      </c>
      <c r="I5" s="169">
        <f>E5*PODLAGE!$K$32</f>
        <v>247469.99999999997</v>
      </c>
      <c r="J5" s="189">
        <f t="shared" ref="J5:J10" si="2">SUM(H5:I5)</f>
        <v>423241.5</v>
      </c>
    </row>
    <row r="6" spans="2:73" ht="12.75" customHeight="1" x14ac:dyDescent="0.2">
      <c r="B6" s="109" t="s">
        <v>170</v>
      </c>
      <c r="C6" s="4" t="s">
        <v>16</v>
      </c>
      <c r="D6" s="7">
        <v>6</v>
      </c>
      <c r="E6" s="7">
        <v>4</v>
      </c>
      <c r="F6" s="5">
        <f>PODLAGE!$E$37</f>
        <v>4294</v>
      </c>
      <c r="G6" s="5">
        <f t="shared" si="0"/>
        <v>17176</v>
      </c>
      <c r="H6" s="75">
        <f t="shared" si="1"/>
        <v>17176</v>
      </c>
      <c r="I6" s="10">
        <f>E6*PODLAGE!$K$25</f>
        <v>37120.5</v>
      </c>
      <c r="J6" s="71">
        <f t="shared" si="2"/>
        <v>54296.5</v>
      </c>
    </row>
    <row r="7" spans="2:73" ht="12.75" customHeight="1" x14ac:dyDescent="0.2">
      <c r="B7" s="110" t="s">
        <v>171</v>
      </c>
      <c r="C7" s="4" t="s">
        <v>16</v>
      </c>
      <c r="D7" s="7">
        <v>14</v>
      </c>
      <c r="E7" s="7">
        <v>4</v>
      </c>
      <c r="F7" s="5">
        <f>PODLAGE!$E$37</f>
        <v>4294</v>
      </c>
      <c r="G7" s="5">
        <f t="shared" si="0"/>
        <v>17176</v>
      </c>
      <c r="H7" s="75">
        <f t="shared" si="1"/>
        <v>17176</v>
      </c>
      <c r="I7" s="10">
        <f>E7*PODLAGE!$K$25</f>
        <v>37120.5</v>
      </c>
      <c r="J7" s="71">
        <f t="shared" si="2"/>
        <v>54296.5</v>
      </c>
    </row>
    <row r="8" spans="2:73" ht="12.75" customHeight="1" x14ac:dyDescent="0.2">
      <c r="B8" s="110" t="s">
        <v>173</v>
      </c>
      <c r="C8" s="4" t="s">
        <v>16</v>
      </c>
      <c r="D8" s="7">
        <v>46</v>
      </c>
      <c r="E8" s="7">
        <v>12</v>
      </c>
      <c r="F8" s="5">
        <f>PODLAGE!$E$37</f>
        <v>4294</v>
      </c>
      <c r="G8" s="5">
        <f t="shared" si="0"/>
        <v>51528</v>
      </c>
      <c r="H8" s="75">
        <f t="shared" si="1"/>
        <v>51528</v>
      </c>
      <c r="I8" s="10">
        <f>E8*PODLAGE!$K$25</f>
        <v>111361.5</v>
      </c>
      <c r="J8" s="71">
        <f>SUM(H8:I8)</f>
        <v>162889.5</v>
      </c>
    </row>
    <row r="9" spans="2:73" ht="12.75" customHeight="1" x14ac:dyDescent="0.2">
      <c r="B9" s="109" t="s">
        <v>174</v>
      </c>
      <c r="C9" s="119" t="s">
        <v>17</v>
      </c>
      <c r="D9" s="120">
        <v>6</v>
      </c>
      <c r="E9" s="120">
        <v>1</v>
      </c>
      <c r="F9" s="226">
        <f>PODLAGE!$E$38</f>
        <v>7909.9999999999991</v>
      </c>
      <c r="G9" s="5">
        <f t="shared" si="0"/>
        <v>7909.9999999999991</v>
      </c>
      <c r="H9" s="75">
        <f t="shared" si="1"/>
        <v>7909.9999999999991</v>
      </c>
      <c r="I9" s="10">
        <f>E9*PODLAGE!$K$26</f>
        <v>14848.199999999997</v>
      </c>
      <c r="J9" s="71">
        <f>SUM(H9:I9)</f>
        <v>22758.199999999997</v>
      </c>
    </row>
    <row r="10" spans="2:73" ht="12.75" customHeight="1" thickBot="1" x14ac:dyDescent="0.25">
      <c r="B10" s="111" t="s">
        <v>175</v>
      </c>
      <c r="C10" s="25" t="s">
        <v>16</v>
      </c>
      <c r="D10" s="28">
        <v>9</v>
      </c>
      <c r="E10" s="28">
        <v>3</v>
      </c>
      <c r="F10" s="26">
        <f>PODLAGE!$E$37</f>
        <v>4294</v>
      </c>
      <c r="G10" s="26">
        <f t="shared" si="0"/>
        <v>12882</v>
      </c>
      <c r="H10" s="37">
        <f t="shared" si="1"/>
        <v>12882</v>
      </c>
      <c r="I10" s="72">
        <f>E10*PODLAGE!$K$25</f>
        <v>27840.375</v>
      </c>
      <c r="J10" s="73">
        <f t="shared" si="2"/>
        <v>40722.375</v>
      </c>
    </row>
    <row r="11" spans="2:73" ht="12.75" customHeight="1" x14ac:dyDescent="0.2">
      <c r="B11" s="20"/>
      <c r="C11" s="20"/>
      <c r="E11" s="152"/>
      <c r="F11" s="152"/>
      <c r="G11" s="152"/>
      <c r="H11" s="153"/>
    </row>
    <row r="12" spans="2:73" x14ac:dyDescent="0.2">
      <c r="D12" s="1"/>
      <c r="H12" s="9"/>
      <c r="I12" s="9"/>
      <c r="J12" s="9"/>
    </row>
    <row r="13" spans="2:73" x14ac:dyDescent="0.2">
      <c r="B13" s="1" t="s">
        <v>209</v>
      </c>
      <c r="D13" s="95">
        <f>SUM(D5:D10)</f>
        <v>281</v>
      </c>
      <c r="E13" s="95">
        <f>SUM(E5:E10)</f>
        <v>25</v>
      </c>
      <c r="F13" s="95"/>
      <c r="G13" s="95"/>
      <c r="H13" s="93">
        <f>SUM(H5:H10)</f>
        <v>282443.5</v>
      </c>
      <c r="I13" s="93">
        <f t="shared" ref="I13:J13" si="3">SUM(I5:I10)</f>
        <v>475761.07500000001</v>
      </c>
      <c r="J13" s="93">
        <f t="shared" si="3"/>
        <v>758204.57499999995</v>
      </c>
    </row>
    <row r="14" spans="2:73" x14ac:dyDescent="0.2">
      <c r="D14" s="1"/>
      <c r="H14" s="1"/>
      <c r="I14" s="1"/>
      <c r="J14" s="1"/>
    </row>
    <row r="15" spans="2:73" ht="25.5" customHeight="1" x14ac:dyDescent="0.2">
      <c r="D15" s="1"/>
      <c r="H15" s="1"/>
      <c r="I15" s="1"/>
      <c r="J15" s="1"/>
    </row>
    <row r="16" spans="2:73" x14ac:dyDescent="0.2">
      <c r="D16" s="1"/>
      <c r="H16" s="1"/>
      <c r="I16" s="1"/>
      <c r="J16" s="1"/>
    </row>
    <row r="17" s="1" customFormat="1" x14ac:dyDescent="0.2"/>
  </sheetData>
  <mergeCells count="4">
    <mergeCell ref="B2:J2"/>
    <mergeCell ref="B3:B4"/>
    <mergeCell ref="C3:C4"/>
    <mergeCell ref="D3: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U13"/>
  <sheetViews>
    <sheetView workbookViewId="0">
      <selection activeCell="J13" sqref="J13"/>
    </sheetView>
  </sheetViews>
  <sheetFormatPr defaultColWidth="8.85546875" defaultRowHeight="12.75" x14ac:dyDescent="0.2"/>
  <cols>
    <col min="1" max="1" width="3.5703125" style="1" customWidth="1"/>
    <col min="2" max="3" width="15.7109375" style="1" customWidth="1"/>
    <col min="4" max="4" width="15.7109375" style="27" customWidth="1"/>
    <col min="5" max="7" width="15.7109375" style="1" customWidth="1"/>
    <col min="8" max="8" width="14" style="32" bestFit="1" customWidth="1"/>
    <col min="9" max="9" width="10" style="32" bestFit="1" customWidth="1"/>
    <col min="10" max="10" width="17.7109375" style="32" customWidth="1"/>
    <col min="11" max="16" width="8.85546875" style="1"/>
    <col min="17" max="17" width="26.28515625" style="1" customWidth="1"/>
    <col min="18" max="16384" width="8.85546875" style="1"/>
  </cols>
  <sheetData>
    <row r="1" spans="2:73" ht="13.5" thickBot="1" x14ac:dyDescent="0.25"/>
    <row r="2" spans="2:73" ht="13.5" thickBot="1" x14ac:dyDescent="0.25">
      <c r="B2" s="318" t="s">
        <v>122</v>
      </c>
      <c r="C2" s="319"/>
      <c r="D2" s="319"/>
      <c r="E2" s="319"/>
      <c r="F2" s="319"/>
      <c r="G2" s="319"/>
      <c r="H2" s="319"/>
      <c r="I2" s="319"/>
      <c r="J2" s="320"/>
      <c r="BU2" s="3"/>
    </row>
    <row r="3" spans="2:73" ht="51" x14ac:dyDescent="0.2">
      <c r="B3" s="344" t="s">
        <v>20</v>
      </c>
      <c r="C3" s="393" t="s">
        <v>31</v>
      </c>
      <c r="D3" s="331" t="s">
        <v>1</v>
      </c>
      <c r="E3" s="107" t="s">
        <v>10</v>
      </c>
      <c r="F3" s="107" t="s">
        <v>67</v>
      </c>
      <c r="G3" s="107" t="s">
        <v>15</v>
      </c>
      <c r="H3" s="15" t="s">
        <v>28</v>
      </c>
      <c r="I3" s="15" t="s">
        <v>33</v>
      </c>
      <c r="J3" s="16" t="s">
        <v>34</v>
      </c>
    </row>
    <row r="4" spans="2:73" ht="15" customHeight="1" x14ac:dyDescent="0.2">
      <c r="B4" s="404"/>
      <c r="C4" s="405"/>
      <c r="D4" s="332"/>
      <c r="E4" s="108" t="s">
        <v>11</v>
      </c>
      <c r="F4" s="108" t="s">
        <v>13</v>
      </c>
      <c r="G4" s="108" t="s">
        <v>7</v>
      </c>
      <c r="H4" s="184" t="s">
        <v>7</v>
      </c>
      <c r="I4" s="184" t="s">
        <v>7</v>
      </c>
      <c r="J4" s="185" t="s">
        <v>7</v>
      </c>
    </row>
    <row r="5" spans="2:73" ht="15" customHeight="1" x14ac:dyDescent="0.2">
      <c r="B5" s="316" t="s">
        <v>174</v>
      </c>
      <c r="C5" s="4" t="s">
        <v>16</v>
      </c>
      <c r="D5" s="7">
        <v>9</v>
      </c>
      <c r="E5" s="7">
        <v>3</v>
      </c>
      <c r="F5" s="5">
        <f>PODLAGE!$E$37</f>
        <v>4294</v>
      </c>
      <c r="G5" s="5">
        <f t="shared" ref="G5:G10" si="0">E5*F5</f>
        <v>12882</v>
      </c>
      <c r="H5" s="75">
        <f t="shared" ref="H5:H10" si="1">SUM(G5:G5)</f>
        <v>12882</v>
      </c>
      <c r="I5" s="10">
        <f>E5*PODLAGE!$K$25</f>
        <v>27840.375</v>
      </c>
      <c r="J5" s="71">
        <f t="shared" ref="J5:J10" si="2">SUM(H5:I5)</f>
        <v>40722.375</v>
      </c>
    </row>
    <row r="6" spans="2:73" ht="15" customHeight="1" x14ac:dyDescent="0.2">
      <c r="B6" s="316"/>
      <c r="C6" s="4" t="s">
        <v>17</v>
      </c>
      <c r="D6" s="7">
        <v>7</v>
      </c>
      <c r="E6" s="7">
        <v>1</v>
      </c>
      <c r="F6" s="5">
        <f>PODLAGE!$E$38</f>
        <v>7909.9999999999991</v>
      </c>
      <c r="G6" s="5">
        <f t="shared" si="0"/>
        <v>7909.9999999999991</v>
      </c>
      <c r="H6" s="75">
        <f t="shared" si="1"/>
        <v>7909.9999999999991</v>
      </c>
      <c r="I6" s="10">
        <f>E6*PODLAGE!$K$26</f>
        <v>14848.199999999997</v>
      </c>
      <c r="J6" s="71">
        <f t="shared" si="2"/>
        <v>22758.199999999997</v>
      </c>
    </row>
    <row r="7" spans="2:73" ht="15" customHeight="1" x14ac:dyDescent="0.2">
      <c r="B7" s="386" t="s">
        <v>173</v>
      </c>
      <c r="C7" s="4" t="s">
        <v>16</v>
      </c>
      <c r="D7" s="7">
        <v>14</v>
      </c>
      <c r="E7" s="7">
        <v>5</v>
      </c>
      <c r="F7" s="5">
        <f>PODLAGE!$E$37</f>
        <v>4294</v>
      </c>
      <c r="G7" s="5">
        <f t="shared" si="0"/>
        <v>21470</v>
      </c>
      <c r="H7" s="75">
        <f t="shared" si="1"/>
        <v>21470</v>
      </c>
      <c r="I7" s="10">
        <f>E7*PODLAGE!$K$25</f>
        <v>46400.625</v>
      </c>
      <c r="J7" s="71">
        <f t="shared" si="2"/>
        <v>67870.625</v>
      </c>
    </row>
    <row r="8" spans="2:73" ht="15" customHeight="1" x14ac:dyDescent="0.2">
      <c r="B8" s="402"/>
      <c r="C8" s="4" t="s">
        <v>17</v>
      </c>
      <c r="D8" s="7">
        <v>13</v>
      </c>
      <c r="E8" s="7">
        <v>2</v>
      </c>
      <c r="F8" s="5">
        <f>PODLAGE!$E$38</f>
        <v>7909.9999999999991</v>
      </c>
      <c r="G8" s="5">
        <f t="shared" si="0"/>
        <v>15819.999999999998</v>
      </c>
      <c r="H8" s="75">
        <f t="shared" si="1"/>
        <v>15819.999999999998</v>
      </c>
      <c r="I8" s="10">
        <f>E8*PODLAGE!$K$26</f>
        <v>29696.399999999994</v>
      </c>
      <c r="J8" s="71">
        <f t="shared" si="2"/>
        <v>45516.399999999994</v>
      </c>
    </row>
    <row r="9" spans="2:73" ht="15" customHeight="1" x14ac:dyDescent="0.2">
      <c r="B9" s="316" t="s">
        <v>178</v>
      </c>
      <c r="C9" s="267" t="s">
        <v>16</v>
      </c>
      <c r="D9" s="7">
        <v>6</v>
      </c>
      <c r="E9" s="7">
        <v>2</v>
      </c>
      <c r="F9" s="5">
        <f>PODLAGE!$E$37</f>
        <v>4294</v>
      </c>
      <c r="G9" s="5">
        <f t="shared" si="0"/>
        <v>8588</v>
      </c>
      <c r="H9" s="75">
        <f t="shared" si="1"/>
        <v>8588</v>
      </c>
      <c r="I9" s="10">
        <f>E9*PODLAGE!$K$25</f>
        <v>18560.25</v>
      </c>
      <c r="J9" s="71">
        <f t="shared" si="2"/>
        <v>27148.25</v>
      </c>
    </row>
    <row r="10" spans="2:73" ht="15" customHeight="1" thickBot="1" x14ac:dyDescent="0.25">
      <c r="B10" s="317"/>
      <c r="C10" s="25" t="s">
        <v>17</v>
      </c>
      <c r="D10" s="28">
        <v>7</v>
      </c>
      <c r="E10" s="28">
        <v>1</v>
      </c>
      <c r="F10" s="26">
        <f>PODLAGE!$E$38</f>
        <v>7909.9999999999991</v>
      </c>
      <c r="G10" s="26">
        <f t="shared" si="0"/>
        <v>7909.9999999999991</v>
      </c>
      <c r="H10" s="37">
        <f t="shared" si="1"/>
        <v>7909.9999999999991</v>
      </c>
      <c r="I10" s="72">
        <f>E10*PODLAGE!$K$26</f>
        <v>14848.199999999997</v>
      </c>
      <c r="J10" s="73">
        <f t="shared" si="2"/>
        <v>22758.199999999997</v>
      </c>
    </row>
    <row r="13" spans="2:73" x14ac:dyDescent="0.2">
      <c r="B13" s="1" t="s">
        <v>209</v>
      </c>
      <c r="D13" s="95">
        <f>SUM(D5:D10)</f>
        <v>56</v>
      </c>
      <c r="E13" s="95">
        <f t="shared" ref="E13:J13" si="3">SUM(E5:E10)</f>
        <v>14</v>
      </c>
      <c r="F13" s="95"/>
      <c r="G13" s="95"/>
      <c r="H13" s="93">
        <f t="shared" si="3"/>
        <v>74580</v>
      </c>
      <c r="I13" s="93">
        <f t="shared" si="3"/>
        <v>152194.04999999999</v>
      </c>
      <c r="J13" s="93">
        <f t="shared" si="3"/>
        <v>226774.05</v>
      </c>
    </row>
  </sheetData>
  <mergeCells count="7">
    <mergeCell ref="B9:B10"/>
    <mergeCell ref="B2:J2"/>
    <mergeCell ref="B3:B4"/>
    <mergeCell ref="C3:C4"/>
    <mergeCell ref="D3:D4"/>
    <mergeCell ref="B5:B6"/>
    <mergeCell ref="B7:B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U38"/>
  <sheetViews>
    <sheetView zoomScaleNormal="100" workbookViewId="0">
      <selection activeCell="J32" sqref="J32"/>
    </sheetView>
  </sheetViews>
  <sheetFormatPr defaultColWidth="8.85546875" defaultRowHeight="12.75" x14ac:dyDescent="0.2"/>
  <cols>
    <col min="1" max="1" width="4.28515625" style="1" customWidth="1"/>
    <col min="2" max="2" width="17.5703125" style="1" bestFit="1" customWidth="1"/>
    <col min="3" max="3" width="6.5703125" style="1" bestFit="1" customWidth="1"/>
    <col min="4" max="4" width="17" style="27" bestFit="1" customWidth="1"/>
    <col min="5" max="5" width="9.28515625" style="1" bestFit="1" customWidth="1"/>
    <col min="6" max="6" width="17.5703125" style="1" bestFit="1" customWidth="1"/>
    <col min="7" max="7" width="14.7109375" style="1" bestFit="1" customWidth="1"/>
    <col min="8" max="8" width="16.7109375" style="32" bestFit="1" customWidth="1"/>
    <col min="9" max="9" width="11.7109375" style="32" bestFit="1" customWidth="1"/>
    <col min="10" max="10" width="20.7109375" style="32" bestFit="1" customWidth="1"/>
    <col min="11" max="16384" width="8.85546875" style="1"/>
  </cols>
  <sheetData>
    <row r="1" spans="2:73" ht="13.5" thickBot="1" x14ac:dyDescent="0.25"/>
    <row r="2" spans="2:73" ht="13.5" thickBot="1" x14ac:dyDescent="0.25">
      <c r="B2" s="318" t="s">
        <v>123</v>
      </c>
      <c r="C2" s="319"/>
      <c r="D2" s="319"/>
      <c r="E2" s="319"/>
      <c r="F2" s="319"/>
      <c r="G2" s="319"/>
      <c r="H2" s="319"/>
      <c r="I2" s="319"/>
      <c r="J2" s="320"/>
      <c r="BU2" s="3"/>
    </row>
    <row r="3" spans="2:73" ht="51" x14ac:dyDescent="0.2">
      <c r="B3" s="344" t="s">
        <v>20</v>
      </c>
      <c r="C3" s="393" t="s">
        <v>31</v>
      </c>
      <c r="D3" s="331" t="s">
        <v>1</v>
      </c>
      <c r="E3" s="107" t="s">
        <v>10</v>
      </c>
      <c r="F3" s="107" t="s">
        <v>67</v>
      </c>
      <c r="G3" s="107" t="s">
        <v>15</v>
      </c>
      <c r="H3" s="15" t="s">
        <v>28</v>
      </c>
      <c r="I3" s="15" t="s">
        <v>33</v>
      </c>
      <c r="J3" s="16" t="s">
        <v>34</v>
      </c>
    </row>
    <row r="4" spans="2:73" ht="13.5" thickBot="1" x14ac:dyDescent="0.25">
      <c r="B4" s="404"/>
      <c r="C4" s="405"/>
      <c r="D4" s="332"/>
      <c r="E4" s="108" t="s">
        <v>11</v>
      </c>
      <c r="F4" s="108" t="s">
        <v>13</v>
      </c>
      <c r="G4" s="108" t="s">
        <v>7</v>
      </c>
      <c r="H4" s="184" t="s">
        <v>7</v>
      </c>
      <c r="I4" s="184" t="s">
        <v>7</v>
      </c>
      <c r="J4" s="185" t="s">
        <v>7</v>
      </c>
    </row>
    <row r="5" spans="2:73" x14ac:dyDescent="0.2">
      <c r="B5" s="171" t="s">
        <v>165</v>
      </c>
      <c r="C5" s="160" t="s">
        <v>16</v>
      </c>
      <c r="D5" s="187">
        <v>6</v>
      </c>
      <c r="E5" s="187">
        <v>2</v>
      </c>
      <c r="F5" s="188">
        <f>PODLAGE!$E$37</f>
        <v>4294</v>
      </c>
      <c r="G5" s="188">
        <f t="shared" ref="G5:G20" si="0">E5*F5</f>
        <v>8588</v>
      </c>
      <c r="H5" s="172">
        <f t="shared" ref="H5:H17" si="1">SUM(G5:G5)</f>
        <v>8588</v>
      </c>
      <c r="I5" s="169">
        <f>E5*PODLAGE!$K$25</f>
        <v>18560.25</v>
      </c>
      <c r="J5" s="189">
        <f t="shared" ref="J5:J17" si="2">SUM(H5:I5)</f>
        <v>27148.25</v>
      </c>
    </row>
    <row r="6" spans="2:73" x14ac:dyDescent="0.2">
      <c r="B6" s="110" t="s">
        <v>168</v>
      </c>
      <c r="C6" s="4" t="s">
        <v>16</v>
      </c>
      <c r="D6" s="7">
        <v>7</v>
      </c>
      <c r="E6" s="7">
        <v>2</v>
      </c>
      <c r="F6" s="5">
        <f>PODLAGE!$E$37</f>
        <v>4294</v>
      </c>
      <c r="G6" s="5">
        <f t="shared" si="0"/>
        <v>8588</v>
      </c>
      <c r="H6" s="75">
        <f t="shared" si="1"/>
        <v>8588</v>
      </c>
      <c r="I6" s="10">
        <f>E6*PODLAGE!$K$25</f>
        <v>18560.25</v>
      </c>
      <c r="J6" s="71">
        <f t="shared" si="2"/>
        <v>27148.25</v>
      </c>
    </row>
    <row r="7" spans="2:73" x14ac:dyDescent="0.2">
      <c r="B7" s="316" t="s">
        <v>170</v>
      </c>
      <c r="C7" s="4" t="s">
        <v>16</v>
      </c>
      <c r="D7" s="7">
        <v>8</v>
      </c>
      <c r="E7" s="7">
        <v>2</v>
      </c>
      <c r="F7" s="5">
        <f>PODLAGE!$E$37</f>
        <v>4294</v>
      </c>
      <c r="G7" s="5">
        <f t="shared" si="0"/>
        <v>8588</v>
      </c>
      <c r="H7" s="75">
        <f t="shared" si="1"/>
        <v>8588</v>
      </c>
      <c r="I7" s="10">
        <f>E7*PODLAGE!$K$25</f>
        <v>18560.25</v>
      </c>
      <c r="J7" s="71">
        <f t="shared" si="2"/>
        <v>27148.25</v>
      </c>
    </row>
    <row r="8" spans="2:73" x14ac:dyDescent="0.2">
      <c r="B8" s="316"/>
      <c r="C8" s="4" t="s">
        <v>18</v>
      </c>
      <c r="D8" s="7">
        <v>13</v>
      </c>
      <c r="E8" s="7">
        <v>1</v>
      </c>
      <c r="F8" s="5">
        <f>PODLAGE!$E$39</f>
        <v>14689.999999999998</v>
      </c>
      <c r="G8" s="5">
        <f t="shared" si="0"/>
        <v>14689.999999999998</v>
      </c>
      <c r="H8" s="75">
        <f t="shared" si="1"/>
        <v>14689.999999999998</v>
      </c>
      <c r="I8" s="10">
        <f>E8*PODLAGE!$K$27</f>
        <v>23757.119999999995</v>
      </c>
      <c r="J8" s="71">
        <f t="shared" si="2"/>
        <v>38447.119999999995</v>
      </c>
    </row>
    <row r="9" spans="2:73" x14ac:dyDescent="0.2">
      <c r="B9" s="316" t="s">
        <v>171</v>
      </c>
      <c r="C9" s="4" t="s">
        <v>16</v>
      </c>
      <c r="D9" s="7">
        <v>10</v>
      </c>
      <c r="E9" s="7">
        <v>3</v>
      </c>
      <c r="F9" s="5">
        <f>PODLAGE!$E$37</f>
        <v>4294</v>
      </c>
      <c r="G9" s="5">
        <f t="shared" si="0"/>
        <v>12882</v>
      </c>
      <c r="H9" s="75">
        <f t="shared" si="1"/>
        <v>12882</v>
      </c>
      <c r="I9" s="10">
        <f>E9*PODLAGE!$K$25</f>
        <v>27840.375</v>
      </c>
      <c r="J9" s="71">
        <f t="shared" si="2"/>
        <v>40722.375</v>
      </c>
    </row>
    <row r="10" spans="2:73" x14ac:dyDescent="0.2">
      <c r="B10" s="316"/>
      <c r="C10" s="4" t="s">
        <v>17</v>
      </c>
      <c r="D10" s="7">
        <v>14</v>
      </c>
      <c r="E10" s="7">
        <v>2</v>
      </c>
      <c r="F10" s="5">
        <f>PODLAGE!$E$38</f>
        <v>7909.9999999999991</v>
      </c>
      <c r="G10" s="5">
        <f t="shared" si="0"/>
        <v>15819.999999999998</v>
      </c>
      <c r="H10" s="75">
        <f t="shared" si="1"/>
        <v>15819.999999999998</v>
      </c>
      <c r="I10" s="10">
        <f>E10*PODLAGE!$K$26</f>
        <v>29696.399999999994</v>
      </c>
      <c r="J10" s="71">
        <f t="shared" si="2"/>
        <v>45516.399999999994</v>
      </c>
    </row>
    <row r="11" spans="2:73" x14ac:dyDescent="0.2">
      <c r="B11" s="386" t="s">
        <v>173</v>
      </c>
      <c r="C11" s="4" t="s">
        <v>16</v>
      </c>
      <c r="D11" s="7">
        <v>3</v>
      </c>
      <c r="E11" s="7">
        <v>1</v>
      </c>
      <c r="F11" s="5">
        <f>PODLAGE!$E$37</f>
        <v>4294</v>
      </c>
      <c r="G11" s="5">
        <f t="shared" si="0"/>
        <v>4294</v>
      </c>
      <c r="H11" s="75">
        <f t="shared" si="1"/>
        <v>4294</v>
      </c>
      <c r="I11" s="10">
        <f>E11*PODLAGE!$K$25</f>
        <v>9280.125</v>
      </c>
      <c r="J11" s="71">
        <f t="shared" si="2"/>
        <v>13574.125</v>
      </c>
    </row>
    <row r="12" spans="2:73" x14ac:dyDescent="0.2">
      <c r="B12" s="402"/>
      <c r="C12" s="4" t="s">
        <v>17</v>
      </c>
      <c r="D12" s="7">
        <v>8</v>
      </c>
      <c r="E12" s="7">
        <v>1</v>
      </c>
      <c r="F12" s="5">
        <f>PODLAGE!$E$38</f>
        <v>7909.9999999999991</v>
      </c>
      <c r="G12" s="5">
        <f t="shared" ref="G12" si="3">E12*F12</f>
        <v>7909.9999999999991</v>
      </c>
      <c r="H12" s="75">
        <f t="shared" ref="H12" si="4">SUM(G12:G12)</f>
        <v>7909.9999999999991</v>
      </c>
      <c r="I12" s="10">
        <f>E12*PODLAGE!$K$26</f>
        <v>14848.199999999997</v>
      </c>
      <c r="J12" s="71">
        <f t="shared" ref="J12" si="5">SUM(H12:I12)</f>
        <v>22758.199999999997</v>
      </c>
    </row>
    <row r="13" spans="2:73" x14ac:dyDescent="0.2">
      <c r="B13" s="386" t="s">
        <v>174</v>
      </c>
      <c r="C13" s="4" t="s">
        <v>16</v>
      </c>
      <c r="D13" s="7">
        <v>5</v>
      </c>
      <c r="E13" s="7">
        <v>1</v>
      </c>
      <c r="F13" s="5">
        <f>PODLAGE!$E$37</f>
        <v>4294</v>
      </c>
      <c r="G13" s="5">
        <f t="shared" ref="G13:G14" si="6">E13*F13</f>
        <v>4294</v>
      </c>
      <c r="H13" s="75">
        <f t="shared" ref="H13:H14" si="7">SUM(G13:G13)</f>
        <v>4294</v>
      </c>
      <c r="I13" s="10">
        <f>E13*PODLAGE!$K$25</f>
        <v>9280.125</v>
      </c>
      <c r="J13" s="71">
        <f t="shared" ref="J13:J14" si="8">SUM(H13:I13)</f>
        <v>13574.125</v>
      </c>
    </row>
    <row r="14" spans="2:73" x14ac:dyDescent="0.2">
      <c r="B14" s="402"/>
      <c r="C14" s="4" t="s">
        <v>17</v>
      </c>
      <c r="D14" s="7">
        <v>7</v>
      </c>
      <c r="E14" s="7">
        <v>1</v>
      </c>
      <c r="F14" s="5">
        <f>PODLAGE!$E$38</f>
        <v>7909.9999999999991</v>
      </c>
      <c r="G14" s="5">
        <f t="shared" si="6"/>
        <v>7909.9999999999991</v>
      </c>
      <c r="H14" s="75">
        <f t="shared" si="7"/>
        <v>7909.9999999999991</v>
      </c>
      <c r="I14" s="10">
        <f>E14*PODLAGE!$K$26</f>
        <v>14848.199999999997</v>
      </c>
      <c r="J14" s="71">
        <f t="shared" si="8"/>
        <v>22758.199999999997</v>
      </c>
    </row>
    <row r="15" spans="2:73" x14ac:dyDescent="0.2">
      <c r="B15" s="316" t="s">
        <v>175</v>
      </c>
      <c r="C15" s="4" t="s">
        <v>16</v>
      </c>
      <c r="D15" s="7">
        <v>35</v>
      </c>
      <c r="E15" s="7">
        <v>11</v>
      </c>
      <c r="F15" s="5">
        <f>PODLAGE!$E$37</f>
        <v>4294</v>
      </c>
      <c r="G15" s="5">
        <f t="shared" si="0"/>
        <v>47234</v>
      </c>
      <c r="H15" s="75">
        <f t="shared" si="1"/>
        <v>47234</v>
      </c>
      <c r="I15" s="10">
        <f>E15*PODLAGE!$K$25</f>
        <v>102081.375</v>
      </c>
      <c r="J15" s="71">
        <f t="shared" si="2"/>
        <v>149315.375</v>
      </c>
    </row>
    <row r="16" spans="2:73" x14ac:dyDescent="0.2">
      <c r="B16" s="316"/>
      <c r="C16" s="4" t="s">
        <v>17</v>
      </c>
      <c r="D16" s="7">
        <v>28</v>
      </c>
      <c r="E16" s="7">
        <v>4</v>
      </c>
      <c r="F16" s="5">
        <f>PODLAGE!$E$38</f>
        <v>7909.9999999999991</v>
      </c>
      <c r="G16" s="5">
        <f t="shared" si="0"/>
        <v>31639.999999999996</v>
      </c>
      <c r="H16" s="75">
        <f t="shared" si="1"/>
        <v>31639.999999999996</v>
      </c>
      <c r="I16" s="10">
        <f>E16*PODLAGE!$K$26</f>
        <v>59392.799999999988</v>
      </c>
      <c r="J16" s="71">
        <f t="shared" si="2"/>
        <v>91032.799999999988</v>
      </c>
    </row>
    <row r="17" spans="2:10" x14ac:dyDescent="0.2">
      <c r="B17" s="316" t="s">
        <v>177</v>
      </c>
      <c r="C17" s="4" t="s">
        <v>16</v>
      </c>
      <c r="D17" s="7">
        <v>5</v>
      </c>
      <c r="E17" s="7">
        <v>1</v>
      </c>
      <c r="F17" s="5">
        <f>PODLAGE!$E$37</f>
        <v>4294</v>
      </c>
      <c r="G17" s="5">
        <f t="shared" si="0"/>
        <v>4294</v>
      </c>
      <c r="H17" s="75">
        <f t="shared" si="1"/>
        <v>4294</v>
      </c>
      <c r="I17" s="10">
        <f>E17*PODLAGE!$K$25</f>
        <v>9280.125</v>
      </c>
      <c r="J17" s="71">
        <f t="shared" si="2"/>
        <v>13574.125</v>
      </c>
    </row>
    <row r="18" spans="2:10" x14ac:dyDescent="0.2">
      <c r="B18" s="316"/>
      <c r="C18" s="4" t="s">
        <v>17</v>
      </c>
      <c r="D18" s="7">
        <v>6</v>
      </c>
      <c r="E18" s="7">
        <v>1</v>
      </c>
      <c r="F18" s="5">
        <f>PODLAGE!$E$38</f>
        <v>7909.9999999999991</v>
      </c>
      <c r="G18" s="5">
        <f t="shared" si="0"/>
        <v>7909.9999999999991</v>
      </c>
      <c r="H18" s="75">
        <f t="shared" ref="H18:H19" si="9">SUM(G18:G18)</f>
        <v>7909.9999999999991</v>
      </c>
      <c r="I18" s="10">
        <f>E18*PODLAGE!$K$26</f>
        <v>14848.199999999997</v>
      </c>
      <c r="J18" s="71">
        <f t="shared" ref="J18:J19" si="10">SUM(H18:I18)</f>
        <v>22758.199999999997</v>
      </c>
    </row>
    <row r="19" spans="2:10" x14ac:dyDescent="0.2">
      <c r="B19" s="316"/>
      <c r="C19" s="4" t="s">
        <v>18</v>
      </c>
      <c r="D19" s="7">
        <v>11</v>
      </c>
      <c r="E19" s="7">
        <v>1</v>
      </c>
      <c r="F19" s="5">
        <f>PODLAGE!$E$39</f>
        <v>14689.999999999998</v>
      </c>
      <c r="G19" s="5">
        <f t="shared" si="0"/>
        <v>14689.999999999998</v>
      </c>
      <c r="H19" s="75">
        <f t="shared" si="9"/>
        <v>14689.999999999998</v>
      </c>
      <c r="I19" s="10">
        <f>E19*PODLAGE!$K$27</f>
        <v>23757.119999999995</v>
      </c>
      <c r="J19" s="71">
        <f t="shared" si="10"/>
        <v>38447.119999999995</v>
      </c>
    </row>
    <row r="20" spans="2:10" ht="13.5" thickBot="1" x14ac:dyDescent="0.25">
      <c r="B20" s="111" t="s">
        <v>178</v>
      </c>
      <c r="C20" s="25" t="s">
        <v>16</v>
      </c>
      <c r="D20" s="28">
        <v>4</v>
      </c>
      <c r="E20" s="28">
        <v>1</v>
      </c>
      <c r="F20" s="26">
        <f>PODLAGE!$E$37</f>
        <v>4294</v>
      </c>
      <c r="G20" s="26">
        <f t="shared" si="0"/>
        <v>4294</v>
      </c>
      <c r="H20" s="37">
        <f>SUM(G20:G20)</f>
        <v>4294</v>
      </c>
      <c r="I20" s="72">
        <f>E20*PODLAGE!$K$25</f>
        <v>9280.125</v>
      </c>
      <c r="J20" s="73">
        <f>SUM(H20:I20)</f>
        <v>13574.125</v>
      </c>
    </row>
    <row r="22" spans="2:10" x14ac:dyDescent="0.2">
      <c r="B22" s="1" t="s">
        <v>209</v>
      </c>
    </row>
    <row r="23" spans="2:10" x14ac:dyDescent="0.2">
      <c r="B23" s="143" t="s">
        <v>165</v>
      </c>
      <c r="C23" s="143"/>
      <c r="D23" s="148">
        <f>SUM(D5:D5)</f>
        <v>6</v>
      </c>
      <c r="E23" s="148">
        <f>SUM(E5:E5)</f>
        <v>2</v>
      </c>
      <c r="F23" s="148"/>
      <c r="G23" s="148"/>
      <c r="H23" s="154">
        <f t="shared" ref="H23:J24" si="11">SUM(H5:H5)</f>
        <v>8588</v>
      </c>
      <c r="I23" s="154">
        <f t="shared" si="11"/>
        <v>18560.25</v>
      </c>
      <c r="J23" s="154">
        <f t="shared" si="11"/>
        <v>27148.25</v>
      </c>
    </row>
    <row r="24" spans="2:10" x14ac:dyDescent="0.2">
      <c r="B24" s="143" t="s">
        <v>168</v>
      </c>
      <c r="C24" s="143"/>
      <c r="D24" s="148">
        <f>SUM(D6:D6)</f>
        <v>7</v>
      </c>
      <c r="E24" s="148">
        <f>SUM(E6:E6)</f>
        <v>2</v>
      </c>
      <c r="F24" s="148"/>
      <c r="G24" s="148"/>
      <c r="H24" s="154">
        <f t="shared" si="11"/>
        <v>8588</v>
      </c>
      <c r="I24" s="154">
        <f t="shared" si="11"/>
        <v>18560.25</v>
      </c>
      <c r="J24" s="154">
        <f t="shared" si="11"/>
        <v>27148.25</v>
      </c>
    </row>
    <row r="25" spans="2:10" x14ac:dyDescent="0.2">
      <c r="B25" s="143" t="s">
        <v>170</v>
      </c>
      <c r="C25" s="143"/>
      <c r="D25" s="148">
        <f>SUM(D7:D8)</f>
        <v>21</v>
      </c>
      <c r="E25" s="148">
        <f>SUM(E7:E8)</f>
        <v>3</v>
      </c>
      <c r="F25" s="148"/>
      <c r="G25" s="148"/>
      <c r="H25" s="154">
        <f>SUM(H7:H8)</f>
        <v>23278</v>
      </c>
      <c r="I25" s="154">
        <f>SUM(I7:I8)</f>
        <v>42317.369999999995</v>
      </c>
      <c r="J25" s="154">
        <f>SUM(J7:J8)</f>
        <v>65595.37</v>
      </c>
    </row>
    <row r="26" spans="2:10" x14ac:dyDescent="0.2">
      <c r="B26" s="143" t="s">
        <v>171</v>
      </c>
      <c r="C26" s="143"/>
      <c r="D26" s="148">
        <f>SUM(D9:D10)</f>
        <v>24</v>
      </c>
      <c r="E26" s="148">
        <f>SUM(E9:E10)</f>
        <v>5</v>
      </c>
      <c r="F26" s="148"/>
      <c r="G26" s="148"/>
      <c r="H26" s="154">
        <f>SUM(H9:H10)</f>
        <v>28702</v>
      </c>
      <c r="I26" s="154">
        <f>SUM(I9:I10)</f>
        <v>57536.774999999994</v>
      </c>
      <c r="J26" s="154">
        <f>SUM(J9:J10)</f>
        <v>86238.774999999994</v>
      </c>
    </row>
    <row r="27" spans="2:10" x14ac:dyDescent="0.2">
      <c r="B27" s="143" t="s">
        <v>173</v>
      </c>
      <c r="C27" s="143"/>
      <c r="D27" s="148">
        <f>SUM(D11:D12)</f>
        <v>11</v>
      </c>
      <c r="E27" s="148">
        <f t="shared" ref="E27:J27" si="12">SUM(E11:E12)</f>
        <v>2</v>
      </c>
      <c r="F27" s="148"/>
      <c r="G27" s="148"/>
      <c r="H27" s="154">
        <f t="shared" si="12"/>
        <v>12204</v>
      </c>
      <c r="I27" s="154">
        <f t="shared" si="12"/>
        <v>24128.324999999997</v>
      </c>
      <c r="J27" s="154">
        <f t="shared" si="12"/>
        <v>36332.324999999997</v>
      </c>
    </row>
    <row r="28" spans="2:10" x14ac:dyDescent="0.2">
      <c r="B28" s="143" t="s">
        <v>174</v>
      </c>
      <c r="C28" s="143"/>
      <c r="D28" s="148">
        <f>SUM(D13:D14)</f>
        <v>12</v>
      </c>
      <c r="E28" s="148">
        <f t="shared" ref="E28:J28" si="13">SUM(E13:E14)</f>
        <v>2</v>
      </c>
      <c r="F28" s="148"/>
      <c r="G28" s="148"/>
      <c r="H28" s="154">
        <f t="shared" si="13"/>
        <v>12204</v>
      </c>
      <c r="I28" s="154">
        <f t="shared" si="13"/>
        <v>24128.324999999997</v>
      </c>
      <c r="J28" s="154">
        <f t="shared" si="13"/>
        <v>36332.324999999997</v>
      </c>
    </row>
    <row r="29" spans="2:10" x14ac:dyDescent="0.2">
      <c r="B29" s="143" t="s">
        <v>175</v>
      </c>
      <c r="C29" s="143"/>
      <c r="D29" s="148">
        <f>SUM(D15:D16)</f>
        <v>63</v>
      </c>
      <c r="E29" s="148">
        <f>SUM(E15:E16)</f>
        <v>15</v>
      </c>
      <c r="F29" s="148"/>
      <c r="G29" s="148"/>
      <c r="H29" s="154">
        <f>SUM(H15:H16)</f>
        <v>78874</v>
      </c>
      <c r="I29" s="154">
        <f>SUM(I15:I16)</f>
        <v>161474.17499999999</v>
      </c>
      <c r="J29" s="154">
        <f>SUM(J15:J16)</f>
        <v>240348.17499999999</v>
      </c>
    </row>
    <row r="30" spans="2:10" x14ac:dyDescent="0.2">
      <c r="B30" s="143" t="s">
        <v>177</v>
      </c>
      <c r="C30" s="143"/>
      <c r="D30" s="148">
        <f>SUM(D17:D19)</f>
        <v>22</v>
      </c>
      <c r="E30" s="148">
        <f>SUM(E17:E19)</f>
        <v>3</v>
      </c>
      <c r="F30" s="148"/>
      <c r="G30" s="148"/>
      <c r="H30" s="154">
        <f>SUM(H17:H19)</f>
        <v>26894</v>
      </c>
      <c r="I30" s="154">
        <f>SUM(I17:I19)</f>
        <v>47885.444999999992</v>
      </c>
      <c r="J30" s="154">
        <f>SUM(J17:J19)</f>
        <v>74779.444999999992</v>
      </c>
    </row>
    <row r="31" spans="2:10" x14ac:dyDescent="0.2">
      <c r="B31" s="143" t="s">
        <v>178</v>
      </c>
      <c r="C31" s="143"/>
      <c r="D31" s="148">
        <f>SUM(D20)</f>
        <v>4</v>
      </c>
      <c r="E31" s="148">
        <f>SUM(E20)</f>
        <v>1</v>
      </c>
      <c r="F31" s="148"/>
      <c r="G31" s="148"/>
      <c r="H31" s="154">
        <f>SUM(H20)</f>
        <v>4294</v>
      </c>
      <c r="I31" s="154">
        <f>SUM(I20)</f>
        <v>9280.125</v>
      </c>
      <c r="J31" s="154">
        <f>SUM(J20)</f>
        <v>13574.125</v>
      </c>
    </row>
    <row r="32" spans="2:10" x14ac:dyDescent="0.2">
      <c r="B32" s="190" t="s">
        <v>25</v>
      </c>
      <c r="C32" s="190"/>
      <c r="D32" s="191">
        <f>SUM(D23:D31)</f>
        <v>170</v>
      </c>
      <c r="E32" s="191">
        <f>SUM(E23:E31)</f>
        <v>35</v>
      </c>
      <c r="F32" s="191"/>
      <c r="G32" s="191"/>
      <c r="H32" s="192">
        <f>SUM(H23:H31)</f>
        <v>203626</v>
      </c>
      <c r="I32" s="192">
        <f>SUM(I23:I31)</f>
        <v>403871.04</v>
      </c>
      <c r="J32" s="192">
        <f>SUM(J23:J31)</f>
        <v>607497.03999999992</v>
      </c>
    </row>
    <row r="35" spans="4:5" x14ac:dyDescent="0.2">
      <c r="D35" s="1"/>
    </row>
    <row r="36" spans="4:5" x14ac:dyDescent="0.2">
      <c r="D36" s="1"/>
    </row>
    <row r="37" spans="4:5" x14ac:dyDescent="0.2">
      <c r="D37" s="1"/>
    </row>
    <row r="38" spans="4:5" x14ac:dyDescent="0.2">
      <c r="E38" s="27"/>
    </row>
  </sheetData>
  <mergeCells count="10">
    <mergeCell ref="B17:B19"/>
    <mergeCell ref="B15:B16"/>
    <mergeCell ref="B9:B10"/>
    <mergeCell ref="B7:B8"/>
    <mergeCell ref="B2:J2"/>
    <mergeCell ref="D3:D4"/>
    <mergeCell ref="B3:B4"/>
    <mergeCell ref="C3:C4"/>
    <mergeCell ref="B13:B14"/>
    <mergeCell ref="B11:B12"/>
  </mergeCells>
  <phoneticPr fontId="3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14</vt:i4>
      </vt:variant>
    </vt:vector>
  </HeadingPairs>
  <TitlesOfParts>
    <vt:vector size="14" baseType="lpstr">
      <vt:lpstr>PODLAGE</vt:lpstr>
      <vt:lpstr>določitev PE po naseljih</vt:lpstr>
      <vt:lpstr> Varianta 1 A1, A2</vt:lpstr>
      <vt:lpstr>Varianta 2 – B ali D</vt:lpstr>
      <vt:lpstr>Varianta 2 (delitev D1 - D3) </vt:lpstr>
      <vt:lpstr>Varianta 3 – C ali D3</vt:lpstr>
      <vt:lpstr>Varianta 4 – D1</vt:lpstr>
      <vt:lpstr>Varianta 5 – D2</vt:lpstr>
      <vt:lpstr>Varianta 6 – D3</vt:lpstr>
      <vt:lpstr>Varianta 7 – E</vt:lpstr>
      <vt:lpstr>Varianta 8 – F</vt:lpstr>
      <vt:lpstr>Varianta 9 - X</vt:lpstr>
      <vt:lpstr>Izbrana rešitev (27.06.2023)</vt:lpstr>
      <vt:lpstr>Skupni rezultati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Klemen Strmšnik</dc:creator>
  <cp:lastModifiedBy>Darko Ilievski</cp:lastModifiedBy>
  <cp:lastPrinted>2014-12-01T13:26:36Z</cp:lastPrinted>
  <dcterms:created xsi:type="dcterms:W3CDTF">2011-12-09T09:00:47Z</dcterms:created>
  <dcterms:modified xsi:type="dcterms:W3CDTF">2023-11-08T10:35:59Z</dcterms:modified>
</cp:coreProperties>
</file>